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lmariego\Desktop\patient chart\"/>
    </mc:Choice>
  </mc:AlternateContent>
  <bookViews>
    <workbookView xWindow="0" yWindow="0" windowWidth="19200" windowHeight="8530" tabRatio="650" firstSheet="6" activeTab="6"/>
  </bookViews>
  <sheets>
    <sheet name="For Doctor" sheetId="2" state="hidden" r:id="rId1"/>
    <sheet name="For Patient" sheetId="5" state="hidden" r:id="rId2"/>
    <sheet name="Target Calory &amp; Protein" sheetId="4" state="hidden" r:id="rId3"/>
    <sheet name="Guidelines" sheetId="3" state="hidden" r:id="rId4"/>
    <sheet name="Database" sheetId="1" state="hidden" r:id="rId5"/>
    <sheet name="Product Info" sheetId="6" state="hidden" r:id="rId6"/>
    <sheet name="Patient chart"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9" i="2" l="1"/>
  <c r="W69" i="2" s="1"/>
  <c r="J27" i="1"/>
  <c r="S71" i="2"/>
  <c r="S69" i="2"/>
  <c r="S67" i="2"/>
  <c r="S65" i="2"/>
  <c r="S63" i="2"/>
  <c r="S61" i="2"/>
  <c r="S59" i="2"/>
  <c r="S57" i="2"/>
  <c r="Q71" i="2"/>
  <c r="Q69" i="2"/>
  <c r="Q67" i="2"/>
  <c r="Q65" i="2"/>
  <c r="Q63" i="2"/>
  <c r="Q61" i="2"/>
  <c r="Q59" i="2"/>
  <c r="Q57" i="2"/>
  <c r="U57" i="2" s="1"/>
  <c r="O63" i="2"/>
  <c r="O61" i="2"/>
  <c r="O59" i="2"/>
  <c r="O57" i="2"/>
  <c r="W57" i="2" l="1"/>
  <c r="U65" i="2"/>
  <c r="W65" i="2" s="1"/>
  <c r="U71" i="2"/>
  <c r="W71" i="2" s="1"/>
  <c r="U67" i="2"/>
  <c r="W67" i="2" s="1"/>
  <c r="U63" i="2"/>
  <c r="W63" i="2" s="1"/>
  <c r="U61" i="2"/>
  <c r="W61" i="2" s="1"/>
  <c r="U59" i="2"/>
  <c r="W59" i="2" s="1"/>
  <c r="G10" i="2"/>
  <c r="S44" i="2"/>
  <c r="K44" i="2"/>
  <c r="V74" i="2" l="1"/>
  <c r="S34" i="2"/>
  <c r="K34" i="2"/>
  <c r="F25" i="2" l="1"/>
  <c r="A25" i="2"/>
  <c r="F20" i="2"/>
  <c r="A20" i="2"/>
  <c r="J108" i="2" l="1"/>
  <c r="L108" i="2"/>
  <c r="K108" i="2"/>
  <c r="J25" i="1"/>
  <c r="L101" i="2"/>
  <c r="K101" i="2"/>
  <c r="K102" i="2"/>
  <c r="J101" i="2"/>
  <c r="K4" i="2"/>
  <c r="B10" i="2" l="1"/>
  <c r="G19" i="5" l="1"/>
  <c r="E19" i="5"/>
  <c r="C19" i="5"/>
  <c r="A19" i="5"/>
  <c r="G16" i="5"/>
  <c r="E16" i="5"/>
  <c r="C16" i="5"/>
  <c r="A16" i="5"/>
  <c r="A13" i="5"/>
  <c r="F8" i="5"/>
  <c r="B8" i="5"/>
  <c r="B6" i="5"/>
  <c r="F10" i="5" s="1"/>
  <c r="F6" i="5"/>
  <c r="F4" i="5"/>
  <c r="F29" i="1"/>
  <c r="J67" i="5" l="1"/>
  <c r="B10" i="5"/>
  <c r="I62" i="5"/>
  <c r="J66" i="5"/>
  <c r="I61" i="5"/>
  <c r="J62" i="5"/>
  <c r="I68" i="5"/>
  <c r="I60" i="5"/>
  <c r="J61" i="5"/>
  <c r="I67" i="5"/>
  <c r="J68" i="5"/>
  <c r="J60" i="5"/>
  <c r="I66" i="5"/>
  <c r="F11" i="5"/>
  <c r="L109" i="2" l="1"/>
  <c r="L110" i="2"/>
  <c r="L107" i="2"/>
  <c r="K109" i="2"/>
  <c r="K110" i="2"/>
  <c r="K107" i="2"/>
  <c r="L102" i="2"/>
  <c r="L103" i="2"/>
  <c r="L100" i="2"/>
  <c r="K103" i="2"/>
  <c r="K100" i="2"/>
  <c r="C43" i="1"/>
  <c r="C44" i="1"/>
  <c r="C45" i="1"/>
  <c r="B45" i="1"/>
  <c r="B44" i="1"/>
  <c r="B43" i="1"/>
  <c r="B42" i="1"/>
  <c r="C42" i="1"/>
  <c r="BG26" i="1"/>
  <c r="BE26" i="1"/>
  <c r="BD26" i="1"/>
  <c r="BC26" i="1"/>
  <c r="BB26" i="1"/>
  <c r="BA26" i="1"/>
  <c r="AZ26" i="1"/>
  <c r="AY26" i="1"/>
  <c r="AX26" i="1"/>
  <c r="AW26" i="1"/>
  <c r="AV26" i="1"/>
  <c r="AU26" i="1"/>
  <c r="AT26" i="1"/>
  <c r="AS26" i="1"/>
  <c r="AR26" i="1"/>
  <c r="AQ26" i="1"/>
  <c r="AP26" i="1"/>
  <c r="AO26" i="1"/>
  <c r="AN26" i="1"/>
  <c r="G11" i="2"/>
  <c r="AB37" i="1"/>
  <c r="AB36" i="1"/>
  <c r="Z37" i="1"/>
  <c r="Z36" i="1"/>
  <c r="J32" i="1"/>
  <c r="N73" i="1"/>
  <c r="N60" i="1"/>
  <c r="N61" i="1"/>
  <c r="N62" i="1"/>
  <c r="N63" i="1"/>
  <c r="N64" i="1"/>
  <c r="N65" i="1"/>
  <c r="N66" i="1"/>
  <c r="N67" i="1"/>
  <c r="N68" i="1"/>
  <c r="N69" i="1"/>
  <c r="N70" i="1"/>
  <c r="N71" i="1"/>
  <c r="N72" i="1"/>
  <c r="N59" i="1"/>
  <c r="L59" i="1"/>
  <c r="K31" i="1" s="1"/>
  <c r="L60" i="1"/>
  <c r="L31" i="1" s="1"/>
  <c r="L61" i="1"/>
  <c r="M31" i="1" s="1"/>
  <c r="L62" i="1"/>
  <c r="N31" i="1" s="1"/>
  <c r="L63" i="1"/>
  <c r="L64" i="1"/>
  <c r="L65" i="1"/>
  <c r="L66" i="1"/>
  <c r="L67" i="1"/>
  <c r="L68" i="1"/>
  <c r="L69" i="1"/>
  <c r="L70" i="1"/>
  <c r="L71" i="1"/>
  <c r="L72" i="1"/>
  <c r="L73" i="1"/>
  <c r="J73" i="1"/>
  <c r="H73" i="1"/>
  <c r="F73" i="1"/>
  <c r="J72" i="1"/>
  <c r="H72" i="1"/>
  <c r="F72" i="1"/>
  <c r="J71" i="1"/>
  <c r="H71" i="1"/>
  <c r="F71" i="1"/>
  <c r="J70" i="1"/>
  <c r="H70" i="1"/>
  <c r="F70" i="1"/>
  <c r="J69" i="1"/>
  <c r="H69" i="1"/>
  <c r="F69" i="1"/>
  <c r="J68" i="1"/>
  <c r="H68" i="1"/>
  <c r="F68" i="1"/>
  <c r="J67" i="1"/>
  <c r="H67" i="1"/>
  <c r="F67" i="1"/>
  <c r="J66" i="1"/>
  <c r="H66" i="1"/>
  <c r="F66" i="1"/>
  <c r="J65" i="1"/>
  <c r="H65" i="1"/>
  <c r="F65" i="1"/>
  <c r="J64" i="1"/>
  <c r="J63" i="1"/>
  <c r="H63" i="1"/>
  <c r="F63" i="1"/>
  <c r="J62" i="1"/>
  <c r="H62" i="1"/>
  <c r="F62" i="1"/>
  <c r="J61" i="1"/>
  <c r="H61" i="1"/>
  <c r="F61" i="1"/>
  <c r="J60" i="1"/>
  <c r="H60" i="1"/>
  <c r="F60" i="1"/>
  <c r="J59" i="1"/>
  <c r="H59" i="1"/>
  <c r="F59" i="1"/>
  <c r="J26" i="1"/>
  <c r="J29" i="1"/>
  <c r="D45" i="1" l="1"/>
  <c r="T44" i="1"/>
  <c r="H42" i="1"/>
  <c r="AJ44" i="1"/>
  <c r="D44" i="1"/>
  <c r="F44" i="1"/>
  <c r="AO44" i="1"/>
  <c r="BF44" i="1"/>
  <c r="Y44" i="1"/>
  <c r="I44" i="1"/>
  <c r="BA44" i="1"/>
  <c r="F43" i="1"/>
  <c r="AW44" i="1"/>
  <c r="AG44" i="1"/>
  <c r="Q44" i="1"/>
  <c r="AR44" i="1"/>
  <c r="AB44" i="1"/>
  <c r="L44" i="1"/>
  <c r="BF45" i="1"/>
  <c r="AK45" i="1"/>
  <c r="Z45" i="1"/>
  <c r="O45" i="1"/>
  <c r="E45" i="1"/>
  <c r="AI45" i="1"/>
  <c r="AD45" i="1"/>
  <c r="Y45" i="1"/>
  <c r="S45" i="1"/>
  <c r="N45" i="1"/>
  <c r="I45" i="1"/>
  <c r="BG45" i="1"/>
  <c r="AL45" i="1"/>
  <c r="AG45" i="1"/>
  <c r="AA45" i="1"/>
  <c r="V45" i="1"/>
  <c r="Q45" i="1"/>
  <c r="K45" i="1"/>
  <c r="F45" i="1"/>
  <c r="AE45" i="1"/>
  <c r="U45" i="1"/>
  <c r="J45" i="1"/>
  <c r="AM45" i="1"/>
  <c r="AH45" i="1"/>
  <c r="AC45" i="1"/>
  <c r="W45" i="1"/>
  <c r="R45" i="1"/>
  <c r="M45" i="1"/>
  <c r="G45" i="1"/>
  <c r="BE44" i="1"/>
  <c r="AV44" i="1"/>
  <c r="AN44" i="1"/>
  <c r="AF44" i="1"/>
  <c r="X44" i="1"/>
  <c r="P44" i="1"/>
  <c r="H44" i="1"/>
  <c r="BB44" i="1"/>
  <c r="AS44" i="1"/>
  <c r="AK44" i="1"/>
  <c r="AC44" i="1"/>
  <c r="U44" i="1"/>
  <c r="M44" i="1"/>
  <c r="E44" i="1"/>
  <c r="BH45" i="1"/>
  <c r="AJ45" i="1"/>
  <c r="AF45" i="1"/>
  <c r="AB45" i="1"/>
  <c r="X45" i="1"/>
  <c r="T45" i="1"/>
  <c r="P45" i="1"/>
  <c r="L45" i="1"/>
  <c r="H45" i="1"/>
  <c r="BH44" i="1"/>
  <c r="BD44" i="1"/>
  <c r="AZ44" i="1"/>
  <c r="AU44" i="1"/>
  <c r="AQ44" i="1"/>
  <c r="AM44" i="1"/>
  <c r="AI44" i="1"/>
  <c r="AE44" i="1"/>
  <c r="AE48" i="1" s="1"/>
  <c r="AA44" i="1"/>
  <c r="W44" i="1"/>
  <c r="S44" i="1"/>
  <c r="O44" i="1"/>
  <c r="O48" i="1" s="1"/>
  <c r="K44" i="1"/>
  <c r="G44" i="1"/>
  <c r="BG44" i="1"/>
  <c r="BC44" i="1"/>
  <c r="AX44" i="1"/>
  <c r="AT44" i="1"/>
  <c r="AP44" i="1"/>
  <c r="AL44" i="1"/>
  <c r="AH44" i="1"/>
  <c r="AD44" i="1"/>
  <c r="Z44" i="1"/>
  <c r="V44" i="1"/>
  <c r="R44" i="1"/>
  <c r="N44" i="1"/>
  <c r="J44" i="1"/>
  <c r="BA43" i="1"/>
  <c r="AK43" i="1"/>
  <c r="U43" i="1"/>
  <c r="D43" i="1"/>
  <c r="AV43" i="1"/>
  <c r="AF43" i="1"/>
  <c r="P43" i="1"/>
  <c r="AS43" i="1"/>
  <c r="AC43" i="1"/>
  <c r="M43" i="1"/>
  <c r="BD43" i="1"/>
  <c r="AN43" i="1"/>
  <c r="X43" i="1"/>
  <c r="H43" i="1"/>
  <c r="BH43" i="1"/>
  <c r="AZ43" i="1"/>
  <c r="AR43" i="1"/>
  <c r="AJ43" i="1"/>
  <c r="AB43" i="1"/>
  <c r="T43" i="1"/>
  <c r="L43" i="1"/>
  <c r="BE43" i="1"/>
  <c r="AW43" i="1"/>
  <c r="AO43" i="1"/>
  <c r="AG43" i="1"/>
  <c r="Y43" i="1"/>
  <c r="Q43" i="1"/>
  <c r="I43" i="1"/>
  <c r="BG43" i="1"/>
  <c r="BC43" i="1"/>
  <c r="AY43" i="1"/>
  <c r="AU43" i="1"/>
  <c r="AQ43" i="1"/>
  <c r="AM43" i="1"/>
  <c r="AI43" i="1"/>
  <c r="AE43" i="1"/>
  <c r="AA43" i="1"/>
  <c r="W43" i="1"/>
  <c r="S43" i="1"/>
  <c r="O43" i="1"/>
  <c r="K43" i="1"/>
  <c r="G43" i="1"/>
  <c r="BF43" i="1"/>
  <c r="BB43" i="1"/>
  <c r="AX43" i="1"/>
  <c r="AT43" i="1"/>
  <c r="AP43" i="1"/>
  <c r="AL43" i="1"/>
  <c r="AH43" i="1"/>
  <c r="AD43" i="1"/>
  <c r="Z43" i="1"/>
  <c r="V43" i="1"/>
  <c r="R43" i="1"/>
  <c r="N43" i="1"/>
  <c r="J43" i="1"/>
  <c r="E43" i="1"/>
  <c r="BF42" i="1"/>
  <c r="AX42" i="1"/>
  <c r="AH42" i="1"/>
  <c r="R42" i="1"/>
  <c r="AW42" i="1"/>
  <c r="Y42" i="1"/>
  <c r="I42" i="1"/>
  <c r="BB42" i="1"/>
  <c r="AT42" i="1"/>
  <c r="AL42" i="1"/>
  <c r="AD42" i="1"/>
  <c r="V42" i="1"/>
  <c r="N42" i="1"/>
  <c r="AP42" i="1"/>
  <c r="Z42" i="1"/>
  <c r="BE42" i="1"/>
  <c r="AO42" i="1"/>
  <c r="AG42" i="1"/>
  <c r="Q42" i="1"/>
  <c r="D42" i="1"/>
  <c r="BA42" i="1"/>
  <c r="AS42" i="1"/>
  <c r="AK42" i="1"/>
  <c r="AC42" i="1"/>
  <c r="U42" i="1"/>
  <c r="M42" i="1"/>
  <c r="BH42" i="1"/>
  <c r="BD42" i="1"/>
  <c r="AZ42" i="1"/>
  <c r="AV42" i="1"/>
  <c r="AR42" i="1"/>
  <c r="AN42" i="1"/>
  <c r="AJ42" i="1"/>
  <c r="AF42" i="1"/>
  <c r="AB42" i="1"/>
  <c r="X42" i="1"/>
  <c r="T42" i="1"/>
  <c r="P42" i="1"/>
  <c r="L42" i="1"/>
  <c r="G42" i="1"/>
  <c r="BG42" i="1"/>
  <c r="BC42" i="1"/>
  <c r="AY42" i="1"/>
  <c r="AU42" i="1"/>
  <c r="AQ42" i="1"/>
  <c r="AM42" i="1"/>
  <c r="AI42" i="1"/>
  <c r="AE42" i="1"/>
  <c r="AA42" i="1"/>
  <c r="W42" i="1"/>
  <c r="S42" i="1"/>
  <c r="O42" i="1"/>
  <c r="K42" i="1"/>
  <c r="F42" i="1"/>
  <c r="E42" i="1"/>
  <c r="AD48" i="1" l="1"/>
  <c r="AA48" i="1"/>
  <c r="AJ48" i="1"/>
  <c r="D48" i="1"/>
  <c r="AF48" i="1"/>
  <c r="K48" i="1"/>
  <c r="M48" i="1"/>
  <c r="X48" i="1"/>
  <c r="AB48" i="1"/>
  <c r="Y48" i="1"/>
  <c r="R48" i="1"/>
  <c r="V48" i="1"/>
  <c r="J48" i="1"/>
  <c r="Z48" i="1"/>
  <c r="S48" i="1"/>
  <c r="AC48" i="1"/>
  <c r="H48" i="1"/>
  <c r="Q48" i="1"/>
  <c r="U48" i="1"/>
  <c r="N48" i="1"/>
  <c r="G48" i="1"/>
  <c r="W48" i="1"/>
  <c r="E48" i="1"/>
  <c r="P48" i="1"/>
  <c r="L48" i="1"/>
  <c r="I48" i="1"/>
  <c r="F48" i="1"/>
  <c r="T48" i="1"/>
  <c r="F46" i="1"/>
  <c r="BF48" i="1"/>
  <c r="AP47" i="1"/>
  <c r="BF47" i="1"/>
  <c r="AW47" i="1"/>
  <c r="BD47" i="1"/>
  <c r="P47" i="1"/>
  <c r="U47" i="1"/>
  <c r="AG48" i="1"/>
  <c r="BH48" i="1"/>
  <c r="AH48" i="1"/>
  <c r="AL48" i="1"/>
  <c r="N47" i="1"/>
  <c r="AD47" i="1"/>
  <c r="AT47" i="1"/>
  <c r="G47" i="1"/>
  <c r="W47" i="1"/>
  <c r="AM47" i="1"/>
  <c r="BC47" i="1"/>
  <c r="Y47" i="1"/>
  <c r="BE47" i="1"/>
  <c r="AJ47" i="1"/>
  <c r="M47" i="1"/>
  <c r="AF47" i="1"/>
  <c r="AK47" i="1"/>
  <c r="AI47" i="1"/>
  <c r="Q47" i="1"/>
  <c r="BH47" i="1"/>
  <c r="R47" i="1"/>
  <c r="AH47" i="1"/>
  <c r="AX47" i="1"/>
  <c r="K47" i="1"/>
  <c r="AA47" i="1"/>
  <c r="AQ47" i="1"/>
  <c r="BG47" i="1"/>
  <c r="AG47" i="1"/>
  <c r="L47" i="1"/>
  <c r="AR47" i="1"/>
  <c r="X47" i="1"/>
  <c r="AC47" i="1"/>
  <c r="AV47" i="1"/>
  <c r="BA47" i="1"/>
  <c r="F47" i="1"/>
  <c r="Z47" i="1"/>
  <c r="S47" i="1"/>
  <c r="AY47" i="1"/>
  <c r="AB47" i="1"/>
  <c r="E47" i="1"/>
  <c r="V47" i="1"/>
  <c r="AL47" i="1"/>
  <c r="BB47" i="1"/>
  <c r="O47" i="1"/>
  <c r="AE47" i="1"/>
  <c r="AU47" i="1"/>
  <c r="I47" i="1"/>
  <c r="AO47" i="1"/>
  <c r="T47" i="1"/>
  <c r="AZ47" i="1"/>
  <c r="AN47" i="1"/>
  <c r="AS47" i="1"/>
  <c r="D47" i="1"/>
  <c r="J102" i="2" s="1"/>
  <c r="BG48" i="1"/>
  <c r="AM48" i="1"/>
  <c r="AI48" i="1"/>
  <c r="AK48" i="1"/>
  <c r="H46" i="1"/>
  <c r="H49" i="1" s="1"/>
  <c r="H47" i="1"/>
  <c r="N46" i="1"/>
  <c r="N52" i="1" s="1"/>
  <c r="AD46" i="1"/>
  <c r="AC52" i="1" s="1"/>
  <c r="G46" i="1"/>
  <c r="G49" i="1" s="1"/>
  <c r="AJ46" i="1"/>
  <c r="AI52" i="1" s="1"/>
  <c r="AK46" i="1"/>
  <c r="W46" i="1"/>
  <c r="R46" i="1"/>
  <c r="Q52" i="1" s="1"/>
  <c r="AH46" i="1"/>
  <c r="AG52" i="1" s="1"/>
  <c r="K46" i="1"/>
  <c r="AA46" i="1"/>
  <c r="BG46" i="1"/>
  <c r="AG46" i="1"/>
  <c r="AF52" i="1" s="1"/>
  <c r="L46" i="1"/>
  <c r="X46" i="1"/>
  <c r="AC46" i="1"/>
  <c r="AA52" i="1" s="1"/>
  <c r="AM46" i="1"/>
  <c r="AJ52" i="1" s="1"/>
  <c r="E46" i="1"/>
  <c r="L29" i="2" s="1"/>
  <c r="L31" i="2" s="1"/>
  <c r="V46" i="1"/>
  <c r="S52" i="1" s="1"/>
  <c r="AL46" i="1"/>
  <c r="O46" i="1"/>
  <c r="O52" i="1" s="1"/>
  <c r="AE46" i="1"/>
  <c r="AD52" i="1" s="1"/>
  <c r="I46" i="1"/>
  <c r="T46" i="1"/>
  <c r="D46" i="1"/>
  <c r="J100" i="2" s="1"/>
  <c r="B29" i="2" s="1"/>
  <c r="Y46" i="1"/>
  <c r="M46" i="1"/>
  <c r="M52" i="1" s="1"/>
  <c r="AF46" i="1"/>
  <c r="AE52" i="1" s="1"/>
  <c r="Z46" i="1"/>
  <c r="Z52" i="1" s="1"/>
  <c r="BF46" i="1"/>
  <c r="S46" i="1"/>
  <c r="R52" i="1" s="1"/>
  <c r="AI46" i="1"/>
  <c r="AH52" i="1" s="1"/>
  <c r="Q46" i="1"/>
  <c r="AB46" i="1"/>
  <c r="AB52" i="1" s="1"/>
  <c r="BH46" i="1"/>
  <c r="P46" i="1"/>
  <c r="P52" i="1" s="1"/>
  <c r="U46" i="1"/>
  <c r="L52" i="1" l="1"/>
  <c r="V29" i="2"/>
  <c r="V30" i="2" s="1"/>
  <c r="K52" i="1"/>
  <c r="Q29" i="2"/>
  <c r="Q30" i="2" s="1"/>
  <c r="H66" i="5"/>
  <c r="U3" i="5" s="1"/>
  <c r="J107" i="2"/>
  <c r="H29" i="2" s="1"/>
  <c r="J103" i="2"/>
  <c r="H62" i="5"/>
  <c r="J110" i="2"/>
  <c r="H68" i="5"/>
  <c r="H60" i="5"/>
  <c r="M3" i="5" s="1"/>
  <c r="J109" i="2"/>
  <c r="H67" i="5"/>
  <c r="H61" i="5"/>
  <c r="F49" i="1"/>
  <c r="F50" i="1" s="1"/>
  <c r="A31" i="2" l="1"/>
  <c r="H50" i="1"/>
  <c r="G50" i="1"/>
  <c r="J24" i="1"/>
  <c r="J42" i="1" s="1"/>
  <c r="AY4" i="1"/>
  <c r="AY44" i="1" s="1"/>
  <c r="BE8" i="1"/>
  <c r="BE45" i="1" s="1"/>
  <c r="BD8" i="1"/>
  <c r="BD45" i="1" s="1"/>
  <c r="BC8" i="1"/>
  <c r="BC45" i="1" s="1"/>
  <c r="BB8" i="1"/>
  <c r="BB45" i="1" s="1"/>
  <c r="BA8" i="1"/>
  <c r="BA45" i="1" s="1"/>
  <c r="AZ8" i="1"/>
  <c r="AZ45" i="1" s="1"/>
  <c r="AY8" i="1"/>
  <c r="AY45" i="1" s="1"/>
  <c r="AX8" i="1"/>
  <c r="AX45" i="1" s="1"/>
  <c r="AW8" i="1"/>
  <c r="AW45" i="1" s="1"/>
  <c r="AV8" i="1"/>
  <c r="AV45" i="1" s="1"/>
  <c r="AU8" i="1"/>
  <c r="AU45" i="1" s="1"/>
  <c r="AT8" i="1"/>
  <c r="AT45" i="1" s="1"/>
  <c r="AS8" i="1"/>
  <c r="AS45" i="1" s="1"/>
  <c r="AR8" i="1"/>
  <c r="AR45" i="1" s="1"/>
  <c r="AQ8" i="1"/>
  <c r="AQ45" i="1" s="1"/>
  <c r="AP8" i="1"/>
  <c r="AP45" i="1" s="1"/>
  <c r="AO8" i="1"/>
  <c r="AO45" i="1" s="1"/>
  <c r="AN8" i="1"/>
  <c r="AN45" i="1" s="1"/>
  <c r="B31" i="2" l="1"/>
  <c r="C31" i="2"/>
  <c r="AN46" i="1"/>
  <c r="AN48" i="1"/>
  <c r="AV48" i="1"/>
  <c r="AV46" i="1"/>
  <c r="BD48" i="1"/>
  <c r="BD46" i="1"/>
  <c r="AW48" i="1"/>
  <c r="AW46" i="1"/>
  <c r="BE48" i="1"/>
  <c r="BE46" i="1"/>
  <c r="AT46" i="1"/>
  <c r="AT48" i="1"/>
  <c r="AX48" i="1"/>
  <c r="AX46" i="1"/>
  <c r="BB48" i="1"/>
  <c r="BB46" i="1"/>
  <c r="AR48" i="1"/>
  <c r="AR46" i="1"/>
  <c r="AZ46" i="1"/>
  <c r="AZ48" i="1"/>
  <c r="AO48" i="1"/>
  <c r="AO46" i="1"/>
  <c r="AS48" i="1"/>
  <c r="AS46" i="1"/>
  <c r="BA46" i="1"/>
  <c r="BA48" i="1"/>
  <c r="AP48" i="1"/>
  <c r="AP46" i="1"/>
  <c r="AQ48" i="1"/>
  <c r="AQ46" i="1"/>
  <c r="AU48" i="1"/>
  <c r="AU46" i="1"/>
  <c r="BC48" i="1"/>
  <c r="BC46" i="1"/>
  <c r="J46" i="1"/>
  <c r="J47" i="1"/>
  <c r="AY46" i="1"/>
  <c r="AY48" i="1"/>
  <c r="Q31" i="2" l="1"/>
  <c r="U22" i="5"/>
  <c r="AP49" i="1"/>
  <c r="H30" i="2" l="1"/>
  <c r="U4" i="5"/>
</calcChain>
</file>

<file path=xl/sharedStrings.xml><?xml version="1.0" encoding="utf-8"?>
<sst xmlns="http://schemas.openxmlformats.org/spreadsheetml/2006/main" count="848" uniqueCount="458">
  <si>
    <t>　　　　　　　</t>
    <phoneticPr fontId="3"/>
  </si>
  <si>
    <t>ビタミンA</t>
    <phoneticPr fontId="3"/>
  </si>
  <si>
    <t>ビタミンE</t>
    <phoneticPr fontId="3"/>
  </si>
  <si>
    <t>ビタミンB</t>
    <phoneticPr fontId="3"/>
  </si>
  <si>
    <t>　　　　　　　　　</t>
    <phoneticPr fontId="3"/>
  </si>
  <si>
    <t>　　　　　　</t>
    <phoneticPr fontId="3"/>
  </si>
  <si>
    <t>含硫アミノ酸</t>
    <phoneticPr fontId="3"/>
  </si>
  <si>
    <t>エネルギー
(kcal)</t>
    <phoneticPr fontId="3"/>
  </si>
  <si>
    <t>脂質
(g)</t>
    <phoneticPr fontId="3"/>
  </si>
  <si>
    <t>炭水化物
(g)</t>
    <phoneticPr fontId="3"/>
  </si>
  <si>
    <t>食塩
相当量
(g)</t>
    <phoneticPr fontId="3"/>
  </si>
  <si>
    <t>ナトリウム
(mg)</t>
    <phoneticPr fontId="3"/>
  </si>
  <si>
    <t>カリウム
(mg)</t>
    <phoneticPr fontId="3"/>
  </si>
  <si>
    <t>カルシウム
(mg)</t>
    <phoneticPr fontId="3"/>
  </si>
  <si>
    <t>マグネシウム
(mg)</t>
    <phoneticPr fontId="3"/>
  </si>
  <si>
    <t>リン
(mg)</t>
    <phoneticPr fontId="3"/>
  </si>
  <si>
    <t>鉄
(mg)</t>
    <phoneticPr fontId="3"/>
  </si>
  <si>
    <t>銅
(mg)</t>
    <phoneticPr fontId="3"/>
  </si>
  <si>
    <t>マンガン
(mg)</t>
    <phoneticPr fontId="3"/>
  </si>
  <si>
    <t>ヨウ素
(μg)</t>
    <phoneticPr fontId="3"/>
  </si>
  <si>
    <t>セレン
(μg)</t>
    <phoneticPr fontId="3"/>
  </si>
  <si>
    <t>クロム
(μg)</t>
    <phoneticPr fontId="3"/>
  </si>
  <si>
    <t>モリブデン
(μg)</t>
    <phoneticPr fontId="3"/>
  </si>
  <si>
    <t>レチノール
(μg)</t>
    <phoneticPr fontId="3"/>
  </si>
  <si>
    <t>β-カロテン
(μg)</t>
    <phoneticPr fontId="3"/>
  </si>
  <si>
    <t>ビタミンD
(μg)</t>
    <phoneticPr fontId="3"/>
  </si>
  <si>
    <t>α-
トコフェロール
(mg)</t>
    <phoneticPr fontId="3"/>
  </si>
  <si>
    <t>ビタミンK
(μg)</t>
    <phoneticPr fontId="3"/>
  </si>
  <si>
    <t>ナイアシン
(mg)</t>
    <phoneticPr fontId="3"/>
  </si>
  <si>
    <t>葉酸
(μg)</t>
    <phoneticPr fontId="3"/>
  </si>
  <si>
    <t>パントテン酸
(mg)</t>
    <phoneticPr fontId="3"/>
  </si>
  <si>
    <t>ビオチン
(μg)</t>
    <phoneticPr fontId="3"/>
  </si>
  <si>
    <t>ビタミンC
(mg)</t>
    <phoneticPr fontId="3"/>
  </si>
  <si>
    <t>イソロイシン(mg)</t>
    <phoneticPr fontId="3"/>
  </si>
  <si>
    <t>リシン
（リジン）
(mg)</t>
    <phoneticPr fontId="3"/>
  </si>
  <si>
    <t>メチオニン
(mg)</t>
    <phoneticPr fontId="5"/>
  </si>
  <si>
    <t>シスチン
(mg)</t>
    <phoneticPr fontId="5"/>
  </si>
  <si>
    <t>フェニル
アラニン
(mg)</t>
    <phoneticPr fontId="5"/>
  </si>
  <si>
    <t>チロシン
(mg)</t>
    <phoneticPr fontId="5"/>
  </si>
  <si>
    <t>トレオニン
（スレオニン）
(mg)</t>
    <phoneticPr fontId="3"/>
  </si>
  <si>
    <t>トリプトファン
(mg)</t>
    <phoneticPr fontId="3"/>
  </si>
  <si>
    <t>バリン
(mg)</t>
    <phoneticPr fontId="3"/>
  </si>
  <si>
    <t>ヒスチジン
(mg)</t>
    <phoneticPr fontId="3"/>
  </si>
  <si>
    <t>アルギニン
(mg)</t>
    <phoneticPr fontId="3"/>
  </si>
  <si>
    <t>アラニン
(mg)</t>
    <phoneticPr fontId="3"/>
  </si>
  <si>
    <t>アスパラギン酸
(mg)</t>
    <phoneticPr fontId="3"/>
  </si>
  <si>
    <t>グルタミン酸
(mg)</t>
    <phoneticPr fontId="3"/>
  </si>
  <si>
    <t>グリシン
(mg)</t>
    <phoneticPr fontId="3"/>
  </si>
  <si>
    <t>プロリン
(mg)</t>
    <phoneticPr fontId="3"/>
  </si>
  <si>
    <t>セリン
(mg)</t>
    <phoneticPr fontId="3"/>
  </si>
  <si>
    <t>芳香族アミノ酸</t>
    <phoneticPr fontId="3"/>
  </si>
  <si>
    <t>重量
(g）</t>
    <phoneticPr fontId="3"/>
  </si>
  <si>
    <t>水分
(g)</t>
    <phoneticPr fontId="3"/>
  </si>
  <si>
    <t>亜鉛
(mg)</t>
    <phoneticPr fontId="3"/>
  </si>
  <si>
    <t>ロイシン
(mg)</t>
    <phoneticPr fontId="3"/>
  </si>
  <si>
    <t>-</t>
    <phoneticPr fontId="3"/>
  </si>
  <si>
    <t>Energy
(kcal)</t>
    <phoneticPr fontId="3"/>
  </si>
  <si>
    <t>Fat
(g)</t>
    <phoneticPr fontId="3"/>
  </si>
  <si>
    <t>Carbohydrate
(g)</t>
    <phoneticPr fontId="3"/>
  </si>
  <si>
    <t>Dietary Fiber
(g)</t>
    <phoneticPr fontId="3"/>
  </si>
  <si>
    <t>Salt Equivalent
(g)</t>
    <phoneticPr fontId="3"/>
  </si>
  <si>
    <t>Sodium
(mg)</t>
    <phoneticPr fontId="3"/>
  </si>
  <si>
    <t>Potassium
(mg)</t>
    <phoneticPr fontId="3"/>
  </si>
  <si>
    <t>Calcium
(mg)</t>
    <phoneticPr fontId="3"/>
  </si>
  <si>
    <t>Magnesium
(mg)</t>
    <phoneticPr fontId="3"/>
  </si>
  <si>
    <t>Phosphorous
(mg)</t>
    <phoneticPr fontId="3"/>
  </si>
  <si>
    <t>Iron
(mg)</t>
    <phoneticPr fontId="3"/>
  </si>
  <si>
    <t>Zinc
(mg)</t>
    <phoneticPr fontId="3"/>
  </si>
  <si>
    <t>Copper
(mg)</t>
    <phoneticPr fontId="3"/>
  </si>
  <si>
    <t>Manganese
(mg)</t>
    <phoneticPr fontId="3"/>
  </si>
  <si>
    <t>Iodine
(μg)</t>
    <phoneticPr fontId="3"/>
  </si>
  <si>
    <t>Selenium
(μg)</t>
    <phoneticPr fontId="3"/>
  </si>
  <si>
    <t>Chrome
(μg)</t>
    <phoneticPr fontId="3"/>
  </si>
  <si>
    <t>Molybdenum
(μg)</t>
    <phoneticPr fontId="3"/>
  </si>
  <si>
    <t>Vitamin A
(μg)</t>
    <phoneticPr fontId="3"/>
  </si>
  <si>
    <t>Vitamin D
(μg)</t>
    <phoneticPr fontId="3"/>
  </si>
  <si>
    <t>Vitamin E
(mg)</t>
    <phoneticPr fontId="3"/>
  </si>
  <si>
    <t>Vitamin K
(μg)</t>
    <phoneticPr fontId="3"/>
  </si>
  <si>
    <t>Niacin
(mg)</t>
    <phoneticPr fontId="3"/>
  </si>
  <si>
    <t>Folic Acid
(μg)</t>
    <phoneticPr fontId="3"/>
  </si>
  <si>
    <t>Pantothenic Acid
(mg)</t>
    <phoneticPr fontId="3"/>
  </si>
  <si>
    <t>Biotin
(μg)</t>
    <phoneticPr fontId="3"/>
  </si>
  <si>
    <t>Vitamin C
(mg)</t>
    <phoneticPr fontId="3"/>
  </si>
  <si>
    <t>製品名</t>
    <rPh sb="0" eb="2">
      <t>セイヒン</t>
    </rPh>
    <phoneticPr fontId="3"/>
  </si>
  <si>
    <t>NEO-MUNE</t>
    <phoneticPr fontId="3"/>
  </si>
  <si>
    <t>Isoleucine
(mg)</t>
    <phoneticPr fontId="3"/>
  </si>
  <si>
    <t>Leucine
(mg)</t>
    <phoneticPr fontId="3"/>
  </si>
  <si>
    <t>Lysine
(mg)</t>
    <phoneticPr fontId="3"/>
  </si>
  <si>
    <t>BCAA</t>
    <phoneticPr fontId="3"/>
  </si>
  <si>
    <t>Methionine
(mg)</t>
    <phoneticPr fontId="5"/>
  </si>
  <si>
    <t>Cystine
(mg)</t>
    <phoneticPr fontId="5"/>
  </si>
  <si>
    <t>Phenylalanine
(mg)</t>
    <phoneticPr fontId="5"/>
  </si>
  <si>
    <t>Tyrosine
(mg)</t>
    <phoneticPr fontId="5"/>
  </si>
  <si>
    <t>Threonine
(mg)</t>
    <phoneticPr fontId="3"/>
  </si>
  <si>
    <t>Triptophan
(mg)</t>
    <phoneticPr fontId="3"/>
  </si>
  <si>
    <t>Histidine
(mg)</t>
    <phoneticPr fontId="3"/>
  </si>
  <si>
    <t>Arginine
(mg)</t>
    <phoneticPr fontId="3"/>
  </si>
  <si>
    <t>Alanine
(mg)</t>
    <phoneticPr fontId="3"/>
  </si>
  <si>
    <t>グルタミン
(mg)</t>
    <phoneticPr fontId="3"/>
  </si>
  <si>
    <t>Asparagine Acid
(mg)</t>
    <phoneticPr fontId="3"/>
  </si>
  <si>
    <t>Glutamine
(mg)</t>
    <phoneticPr fontId="3"/>
  </si>
  <si>
    <t>Glutamine Acid
(mg)</t>
    <phoneticPr fontId="3"/>
  </si>
  <si>
    <t>Gycine
(mg)</t>
    <phoneticPr fontId="3"/>
  </si>
  <si>
    <t>Proline
(mg)</t>
    <phoneticPr fontId="3"/>
  </si>
  <si>
    <t>Serine(mg)</t>
    <phoneticPr fontId="3"/>
  </si>
  <si>
    <t>EN</t>
    <phoneticPr fontId="3"/>
  </si>
  <si>
    <r>
      <t>Vitamin B</t>
    </r>
    <r>
      <rPr>
        <vertAlign val="subscript"/>
        <sz val="9"/>
        <color theme="1"/>
        <rFont val="HGPｺﾞｼｯｸE"/>
        <family val="3"/>
        <charset val="128"/>
      </rPr>
      <t>1</t>
    </r>
    <r>
      <rPr>
        <sz val="9"/>
        <color theme="1"/>
        <rFont val="HGPｺﾞｼｯｸE"/>
        <family val="3"/>
        <charset val="128"/>
      </rPr>
      <t xml:space="preserve">
(mg)</t>
    </r>
    <phoneticPr fontId="3"/>
  </si>
  <si>
    <r>
      <t>Vitamin B</t>
    </r>
    <r>
      <rPr>
        <vertAlign val="subscript"/>
        <sz val="9"/>
        <color theme="1"/>
        <rFont val="HGPｺﾞｼｯｸE"/>
        <family val="3"/>
        <charset val="128"/>
      </rPr>
      <t>13
(μg)</t>
    </r>
    <r>
      <rPr>
        <sz val="9"/>
        <color theme="1"/>
        <rFont val="ＭＳ Ｐゴシック"/>
        <family val="3"/>
        <charset val="128"/>
      </rPr>
      <t/>
    </r>
    <phoneticPr fontId="3"/>
  </si>
  <si>
    <r>
      <t>ビタミンB</t>
    </r>
    <r>
      <rPr>
        <vertAlign val="subscript"/>
        <sz val="9"/>
        <color theme="1"/>
        <rFont val="HGPｺﾞｼｯｸE"/>
        <family val="3"/>
        <charset val="128"/>
      </rPr>
      <t>1</t>
    </r>
    <r>
      <rPr>
        <sz val="9"/>
        <color theme="1"/>
        <rFont val="HGPｺﾞｼｯｸE"/>
        <family val="3"/>
        <charset val="128"/>
      </rPr>
      <t xml:space="preserve">
(mg)</t>
    </r>
    <phoneticPr fontId="3"/>
  </si>
  <si>
    <t>食物繊維
(g)</t>
    <phoneticPr fontId="3"/>
  </si>
  <si>
    <t>ENSURE Gold</t>
    <phoneticPr fontId="3"/>
  </si>
  <si>
    <t>PN</t>
    <phoneticPr fontId="3"/>
  </si>
  <si>
    <t>BFLUID 500mL</t>
    <phoneticPr fontId="3"/>
  </si>
  <si>
    <t>HINEX HP</t>
    <phoneticPr fontId="3"/>
  </si>
  <si>
    <t>Product Name</t>
    <phoneticPr fontId="3"/>
  </si>
  <si>
    <t>Category</t>
    <phoneticPr fontId="3"/>
  </si>
  <si>
    <t>分類</t>
    <rPh sb="0" eb="2">
      <t>ブンルイ</t>
    </rPh>
    <phoneticPr fontId="3"/>
  </si>
  <si>
    <t>BIV</t>
    <phoneticPr fontId="3"/>
  </si>
  <si>
    <t>たんぱく質
アミノ酸
(g)</t>
    <rPh sb="9" eb="10">
      <t>サン</t>
    </rPh>
    <phoneticPr fontId="3"/>
  </si>
  <si>
    <t>Protein
Amino Acid
(g)</t>
    <phoneticPr fontId="3"/>
  </si>
  <si>
    <t>Valine
(mg)</t>
    <phoneticPr fontId="3"/>
  </si>
  <si>
    <t>タウリン
(mg)</t>
    <phoneticPr fontId="3"/>
  </si>
  <si>
    <t>Taurine
(mg)</t>
    <phoneticPr fontId="3"/>
  </si>
  <si>
    <t>塩素
(mg)</t>
    <rPh sb="0" eb="2">
      <t>エンソ</t>
    </rPh>
    <phoneticPr fontId="3"/>
  </si>
  <si>
    <t>Chloride
(mg)</t>
    <phoneticPr fontId="3"/>
  </si>
  <si>
    <t>酢酸
(mg)</t>
    <rPh sb="0" eb="2">
      <t>サクサン</t>
    </rPh>
    <phoneticPr fontId="3"/>
  </si>
  <si>
    <t>Acetate
(mg)</t>
    <phoneticPr fontId="3"/>
  </si>
  <si>
    <t>mg</t>
  </si>
  <si>
    <t>mcg</t>
  </si>
  <si>
    <t>Sodium</t>
    <phoneticPr fontId="3"/>
  </si>
  <si>
    <t>Potassium</t>
    <phoneticPr fontId="3"/>
  </si>
  <si>
    <t>Chloride</t>
    <phoneticPr fontId="3"/>
  </si>
  <si>
    <t>Calcium</t>
    <phoneticPr fontId="3"/>
  </si>
  <si>
    <t>Phosphorous</t>
    <phoneticPr fontId="3"/>
  </si>
  <si>
    <t>Acetate</t>
    <phoneticPr fontId="3"/>
  </si>
  <si>
    <t>mg</t>
    <phoneticPr fontId="3"/>
  </si>
  <si>
    <t>Magnesium</t>
    <phoneticPr fontId="3"/>
  </si>
  <si>
    <t>mg</t>
    <phoneticPr fontId="3"/>
  </si>
  <si>
    <t>Iron</t>
    <phoneticPr fontId="3"/>
  </si>
  <si>
    <t>mg</t>
    <phoneticPr fontId="3"/>
  </si>
  <si>
    <t>Zinc</t>
    <phoneticPr fontId="3"/>
  </si>
  <si>
    <t>mg</t>
    <phoneticPr fontId="3"/>
  </si>
  <si>
    <t>Copper</t>
    <phoneticPr fontId="3"/>
  </si>
  <si>
    <t>Manganese</t>
    <phoneticPr fontId="3"/>
  </si>
  <si>
    <t>Iodine</t>
    <phoneticPr fontId="3"/>
  </si>
  <si>
    <t>mcg</t>
    <phoneticPr fontId="3"/>
  </si>
  <si>
    <t>Selenium</t>
    <phoneticPr fontId="3"/>
  </si>
  <si>
    <t>mcg</t>
    <phoneticPr fontId="3"/>
  </si>
  <si>
    <t>Chromium</t>
    <phoneticPr fontId="3"/>
  </si>
  <si>
    <t>mcg</t>
    <phoneticPr fontId="3"/>
  </si>
  <si>
    <t>Molybdenum</t>
    <phoneticPr fontId="3"/>
  </si>
  <si>
    <t>TNA Peri 
(mmol)</t>
    <phoneticPr fontId="3"/>
  </si>
  <si>
    <t>BFLUID 
(mg)</t>
    <phoneticPr fontId="3"/>
  </si>
  <si>
    <t>BFLUID 
(mmol)</t>
    <phoneticPr fontId="3"/>
  </si>
  <si>
    <t>TNA Peri
 (mg)</t>
    <phoneticPr fontId="3"/>
  </si>
  <si>
    <t>SMOF 
Kabiven
(mmol)</t>
    <phoneticPr fontId="3"/>
  </si>
  <si>
    <t>SMOF 
Kabiven
(mg)</t>
    <phoneticPr fontId="3"/>
  </si>
  <si>
    <r>
      <t>ビタミンB</t>
    </r>
    <r>
      <rPr>
        <vertAlign val="subscript"/>
        <sz val="9"/>
        <color theme="1"/>
        <rFont val="HGPｺﾞｼｯｸE"/>
        <family val="3"/>
        <charset val="128"/>
      </rPr>
      <t>2</t>
    </r>
    <r>
      <rPr>
        <sz val="9"/>
        <color theme="1"/>
        <rFont val="HGPｺﾞｼｯｸE"/>
        <family val="3"/>
        <charset val="128"/>
      </rPr>
      <t xml:space="preserve">
(mg)</t>
    </r>
    <phoneticPr fontId="3"/>
  </si>
  <si>
    <r>
      <t>ビタミンB</t>
    </r>
    <r>
      <rPr>
        <vertAlign val="subscript"/>
        <sz val="9"/>
        <color theme="1"/>
        <rFont val="HGPｺﾞｼｯｸE"/>
        <family val="3"/>
        <charset val="128"/>
      </rPr>
      <t>6</t>
    </r>
    <r>
      <rPr>
        <sz val="9"/>
        <color theme="1"/>
        <rFont val="HGPｺﾞｼｯｸE"/>
        <family val="3"/>
        <charset val="128"/>
      </rPr>
      <t xml:space="preserve">
(mg)</t>
    </r>
    <phoneticPr fontId="3"/>
  </si>
  <si>
    <r>
      <t>ビタミンB</t>
    </r>
    <r>
      <rPr>
        <vertAlign val="subscript"/>
        <sz val="9"/>
        <color theme="1"/>
        <rFont val="HGPｺﾞｼｯｸE"/>
        <family val="3"/>
        <charset val="128"/>
      </rPr>
      <t>12</t>
    </r>
    <r>
      <rPr>
        <sz val="9"/>
        <color theme="1"/>
        <rFont val="HGPｺﾞｼｯｸE"/>
        <family val="3"/>
        <charset val="128"/>
      </rPr>
      <t xml:space="preserve">
(μg)</t>
    </r>
    <phoneticPr fontId="3"/>
  </si>
  <si>
    <r>
      <t>Vitamin B</t>
    </r>
    <r>
      <rPr>
        <vertAlign val="subscript"/>
        <sz val="9"/>
        <color theme="1"/>
        <rFont val="HGPｺﾞｼｯｸE"/>
        <family val="3"/>
        <charset val="128"/>
      </rPr>
      <t>6</t>
    </r>
    <r>
      <rPr>
        <sz val="9"/>
        <color theme="1"/>
        <rFont val="HGPｺﾞｼｯｸE"/>
        <family val="3"/>
        <charset val="128"/>
      </rPr>
      <t xml:space="preserve">
(mg)</t>
    </r>
    <phoneticPr fontId="3"/>
  </si>
  <si>
    <t>NSS 
(mmol)</t>
    <phoneticPr fontId="3"/>
  </si>
  <si>
    <t>NSS 
(mg)</t>
    <phoneticPr fontId="3"/>
  </si>
  <si>
    <t>LR 
(mmol)</t>
    <phoneticPr fontId="3"/>
  </si>
  <si>
    <t>LR 
(mg)</t>
    <phoneticPr fontId="3"/>
  </si>
  <si>
    <t>Water
(g)</t>
    <phoneticPr fontId="3"/>
  </si>
  <si>
    <t>β-carotene
(μg)</t>
    <phoneticPr fontId="3"/>
  </si>
  <si>
    <t>Male 30-49y</t>
    <phoneticPr fontId="3"/>
  </si>
  <si>
    <t>Female 30-49y</t>
    <phoneticPr fontId="3"/>
  </si>
  <si>
    <t>15-30%</t>
    <phoneticPr fontId="3"/>
  </si>
  <si>
    <t>55-75%</t>
    <phoneticPr fontId="3"/>
  </si>
  <si>
    <t>Name</t>
    <phoneticPr fontId="3"/>
  </si>
  <si>
    <t>Gender</t>
    <phoneticPr fontId="3"/>
  </si>
  <si>
    <t>Male</t>
    <phoneticPr fontId="3"/>
  </si>
  <si>
    <t>Female</t>
    <phoneticPr fontId="3"/>
  </si>
  <si>
    <t>Body Weight</t>
    <phoneticPr fontId="3"/>
  </si>
  <si>
    <t>Date</t>
    <phoneticPr fontId="3"/>
  </si>
  <si>
    <t>Body Fat</t>
    <phoneticPr fontId="3"/>
  </si>
  <si>
    <t>BMI</t>
    <phoneticPr fontId="3"/>
  </si>
  <si>
    <t>Hight</t>
    <phoneticPr fontId="3"/>
  </si>
  <si>
    <t>%</t>
    <phoneticPr fontId="3"/>
  </si>
  <si>
    <t>Kg</t>
    <phoneticPr fontId="3"/>
  </si>
  <si>
    <t>Age</t>
    <phoneticPr fontId="3"/>
  </si>
  <si>
    <t>0-5m</t>
    <phoneticPr fontId="3"/>
  </si>
  <si>
    <t>6-11m</t>
    <phoneticPr fontId="3"/>
  </si>
  <si>
    <t>1-2y</t>
    <phoneticPr fontId="3"/>
  </si>
  <si>
    <t>3-5y</t>
    <phoneticPr fontId="3"/>
  </si>
  <si>
    <t>6-9y</t>
    <phoneticPr fontId="3"/>
  </si>
  <si>
    <t>10-12y</t>
    <phoneticPr fontId="3"/>
  </si>
  <si>
    <t>13-15y</t>
    <phoneticPr fontId="3"/>
  </si>
  <si>
    <t>16-18y</t>
    <phoneticPr fontId="3"/>
  </si>
  <si>
    <t>19-29y</t>
    <phoneticPr fontId="3"/>
  </si>
  <si>
    <t>30-49y</t>
    <phoneticPr fontId="3"/>
  </si>
  <si>
    <t>50-59y</t>
    <phoneticPr fontId="3"/>
  </si>
  <si>
    <t>60-69y</t>
    <phoneticPr fontId="3"/>
  </si>
  <si>
    <t>≧70y</t>
    <phoneticPr fontId="3"/>
  </si>
  <si>
    <t>Bowel Disease</t>
    <phoneticPr fontId="3"/>
  </si>
  <si>
    <t>Pancreatitis</t>
    <phoneticPr fontId="3"/>
  </si>
  <si>
    <t>Liver Disease</t>
    <phoneticPr fontId="3"/>
  </si>
  <si>
    <t>Geriatrics</t>
    <phoneticPr fontId="3"/>
  </si>
  <si>
    <t>Pediatrics</t>
    <phoneticPr fontId="3"/>
  </si>
  <si>
    <t>Neurology</t>
    <phoneticPr fontId="3"/>
  </si>
  <si>
    <t>Polymorbid internal medicine patients</t>
    <phoneticPr fontId="3"/>
  </si>
  <si>
    <t>Surgery</t>
    <phoneticPr fontId="3"/>
  </si>
  <si>
    <t>Terminology</t>
    <phoneticPr fontId="3"/>
  </si>
  <si>
    <t>Cancer</t>
    <phoneticPr fontId="3"/>
  </si>
  <si>
    <t>Sars-COV-2 Infection</t>
    <phoneticPr fontId="3"/>
  </si>
  <si>
    <t>BW</t>
    <phoneticPr fontId="3"/>
  </si>
  <si>
    <t>Ideal BW</t>
    <phoneticPr fontId="3"/>
  </si>
  <si>
    <t>m</t>
    <phoneticPr fontId="3"/>
  </si>
  <si>
    <t>オルニチン
(mg)</t>
    <phoneticPr fontId="3"/>
  </si>
  <si>
    <t>Ornithine
(mg)</t>
    <phoneticPr fontId="3"/>
  </si>
  <si>
    <t>NSS 1000mL</t>
    <phoneticPr fontId="3"/>
  </si>
  <si>
    <t>LR 1000mL</t>
    <phoneticPr fontId="3"/>
  </si>
  <si>
    <t>Units
Scoops</t>
    <phoneticPr fontId="3"/>
  </si>
  <si>
    <t>TNA Peri 1000mL</t>
    <phoneticPr fontId="3"/>
  </si>
  <si>
    <t>SMOF Kabiven Peripheral 1448mL</t>
    <phoneticPr fontId="3"/>
  </si>
  <si>
    <t>PN
BIV</t>
    <phoneticPr fontId="3"/>
  </si>
  <si>
    <t>LR 1000mL</t>
    <phoneticPr fontId="3"/>
  </si>
  <si>
    <t>Target Protein</t>
    <phoneticPr fontId="3"/>
  </si>
  <si>
    <t>Type of Patient</t>
    <phoneticPr fontId="3"/>
  </si>
  <si>
    <t>Other Diseases(ICU)</t>
    <phoneticPr fontId="3"/>
  </si>
  <si>
    <t>Severe Burn(ICU)</t>
    <phoneticPr fontId="3"/>
  </si>
  <si>
    <t>Hyper Obesity(ICU)</t>
    <phoneticPr fontId="3"/>
  </si>
  <si>
    <t>Aute Kidney Injury(ICU)</t>
    <phoneticPr fontId="3"/>
  </si>
  <si>
    <t>Geriatrics (BMI: more than 21)</t>
    <phoneticPr fontId="3"/>
  </si>
  <si>
    <t>Geriatrics (BMI: less than 21)</t>
    <phoneticPr fontId="3"/>
  </si>
  <si>
    <t>PN or BIV 1</t>
    <phoneticPr fontId="3"/>
  </si>
  <si>
    <t>PN or BIV 2</t>
    <phoneticPr fontId="3"/>
  </si>
  <si>
    <t>EN 1</t>
    <phoneticPr fontId="3"/>
  </si>
  <si>
    <t>EN 2</t>
    <phoneticPr fontId="3"/>
  </si>
  <si>
    <t>units</t>
    <phoneticPr fontId="3"/>
  </si>
  <si>
    <t>units</t>
    <phoneticPr fontId="3"/>
  </si>
  <si>
    <t>Calory</t>
    <phoneticPr fontId="3"/>
  </si>
  <si>
    <t>Protein (Amino Acid)</t>
    <phoneticPr fontId="3"/>
  </si>
  <si>
    <t>Total</t>
    <phoneticPr fontId="3"/>
  </si>
  <si>
    <t>Total</t>
    <phoneticPr fontId="3"/>
  </si>
  <si>
    <t>Actual</t>
    <phoneticPr fontId="3"/>
  </si>
  <si>
    <t xml:space="preserve">Lower Target </t>
    <phoneticPr fontId="3"/>
  </si>
  <si>
    <t>Upper Target</t>
    <phoneticPr fontId="3"/>
  </si>
  <si>
    <t>EN</t>
    <phoneticPr fontId="3"/>
  </si>
  <si>
    <t>Hyper Obesity(ICU)</t>
    <phoneticPr fontId="3"/>
  </si>
  <si>
    <t>Severe Other Diseases(ICU)</t>
    <phoneticPr fontId="3"/>
  </si>
  <si>
    <t>Protein</t>
    <phoneticPr fontId="3"/>
  </si>
  <si>
    <t>g</t>
    <phoneticPr fontId="3"/>
  </si>
  <si>
    <t>kcal</t>
    <phoneticPr fontId="3"/>
  </si>
  <si>
    <t>BCAA</t>
    <phoneticPr fontId="3"/>
  </si>
  <si>
    <t>g</t>
    <phoneticPr fontId="3"/>
  </si>
  <si>
    <t>PCF</t>
    <phoneticPr fontId="3"/>
  </si>
  <si>
    <t>Balance</t>
    <phoneticPr fontId="3"/>
  </si>
  <si>
    <t>Protein</t>
    <phoneticPr fontId="3"/>
  </si>
  <si>
    <t>Fat</t>
    <phoneticPr fontId="3"/>
  </si>
  <si>
    <t>Carbo</t>
    <phoneticPr fontId="3"/>
  </si>
  <si>
    <r>
      <t>Vitamin B</t>
    </r>
    <r>
      <rPr>
        <vertAlign val="subscript"/>
        <sz val="9"/>
        <color theme="1"/>
        <rFont val="HGPｺﾞｼｯｸE"/>
        <family val="3"/>
        <charset val="128"/>
      </rPr>
      <t>12
(μg)</t>
    </r>
    <r>
      <rPr>
        <sz val="9"/>
        <color theme="1"/>
        <rFont val="ＭＳ Ｐゴシック"/>
        <family val="3"/>
        <charset val="128"/>
      </rPr>
      <t/>
    </r>
    <phoneticPr fontId="3"/>
  </si>
  <si>
    <t>Gap</t>
    <phoneticPr fontId="3"/>
  </si>
  <si>
    <t xml:space="preserve">   Please check further information if your patient has specific deseases.</t>
    <phoneticPr fontId="3"/>
  </si>
  <si>
    <t>Salt Equivalent
(g)</t>
    <phoneticPr fontId="3"/>
  </si>
  <si>
    <t>Salt Equivalent</t>
    <phoneticPr fontId="3"/>
  </si>
  <si>
    <t xml:space="preserve">※Attention: The following rader charts are just computed based on reflecting PNRI reccomended amount. </t>
    <phoneticPr fontId="3"/>
  </si>
  <si>
    <t>Severe Burn(ICU)</t>
    <phoneticPr fontId="3"/>
  </si>
  <si>
    <t>Vitamins vs PNDI</t>
    <phoneticPr fontId="3"/>
  </si>
  <si>
    <t>Electrolytes vs PNDI</t>
    <phoneticPr fontId="3"/>
  </si>
  <si>
    <t>TNM ADMIX</t>
    <phoneticPr fontId="3"/>
  </si>
  <si>
    <t>The Best Partner in Clinical Nutrition</t>
    <phoneticPr fontId="3"/>
  </si>
  <si>
    <t>Total Calory</t>
    <phoneticPr fontId="3"/>
  </si>
  <si>
    <t xml:space="preserve">  </t>
    <phoneticPr fontId="3"/>
  </si>
  <si>
    <t>Find the nearest drug store</t>
    <phoneticPr fontId="3"/>
  </si>
  <si>
    <t>Contact to Otsuka Phils Pharma</t>
    <phoneticPr fontId="3"/>
  </si>
  <si>
    <t>Get your prescription</t>
    <phoneticPr fontId="3"/>
  </si>
  <si>
    <t>Order via e-commerce ※Only for Non RX</t>
    <phoneticPr fontId="3"/>
  </si>
  <si>
    <t>Total Protein</t>
    <phoneticPr fontId="3"/>
  </si>
  <si>
    <t>m</t>
    <phoneticPr fontId="3"/>
  </si>
  <si>
    <t>HINEX Jelly</t>
    <phoneticPr fontId="3"/>
  </si>
  <si>
    <t>GFO</t>
    <phoneticPr fontId="3"/>
  </si>
  <si>
    <t>Aminoleban Oral</t>
    <phoneticPr fontId="3"/>
  </si>
  <si>
    <t>Boost Opitam</t>
    <phoneticPr fontId="3"/>
  </si>
  <si>
    <t>Nutribest</t>
    <phoneticPr fontId="3"/>
  </si>
  <si>
    <t>weight
(g)</t>
    <phoneticPr fontId="3"/>
  </si>
  <si>
    <t>Nutren Fibre</t>
    <phoneticPr fontId="3"/>
  </si>
  <si>
    <t>Glucerna</t>
    <phoneticPr fontId="3"/>
  </si>
  <si>
    <t>ENSURE Liquid</t>
    <phoneticPr fontId="3"/>
  </si>
  <si>
    <t>ENSURE Plus</t>
    <phoneticPr fontId="3"/>
  </si>
  <si>
    <t>Beneprotein</t>
    <phoneticPr fontId="3"/>
  </si>
  <si>
    <t>ENSURE Nutrivigor</t>
    <phoneticPr fontId="3"/>
  </si>
  <si>
    <t>Prosure</t>
    <phoneticPr fontId="3"/>
  </si>
  <si>
    <t>ALITRAQ</t>
    <phoneticPr fontId="3"/>
  </si>
  <si>
    <t>Cancer</t>
    <phoneticPr fontId="3"/>
  </si>
  <si>
    <t>※Bqased on ESPEN Guidelines</t>
    <phoneticPr fontId="3"/>
  </si>
  <si>
    <t>Glucobest</t>
    <phoneticPr fontId="3"/>
  </si>
  <si>
    <t>Fresubin</t>
    <phoneticPr fontId="3"/>
  </si>
  <si>
    <t>PDRI</t>
    <phoneticPr fontId="3"/>
  </si>
  <si>
    <t>Vitamins vs PDRI</t>
    <phoneticPr fontId="3"/>
  </si>
  <si>
    <t>Electrolytes vs PDRI</t>
    <phoneticPr fontId="3"/>
  </si>
  <si>
    <t>Surgery</t>
    <phoneticPr fontId="3"/>
  </si>
  <si>
    <t>Calorie</t>
    <phoneticPr fontId="3"/>
  </si>
  <si>
    <t>Target Calorie</t>
    <phoneticPr fontId="3"/>
  </si>
  <si>
    <t>Calorie</t>
    <phoneticPr fontId="3"/>
  </si>
  <si>
    <t>Liver Disease</t>
    <phoneticPr fontId="3"/>
  </si>
  <si>
    <r>
      <t>Vitamin B</t>
    </r>
    <r>
      <rPr>
        <vertAlign val="subscript"/>
        <sz val="9"/>
        <color theme="1"/>
        <rFont val="HGPｺﾞｼｯｸE"/>
        <family val="3"/>
        <charset val="128"/>
      </rPr>
      <t>2</t>
    </r>
    <r>
      <rPr>
        <sz val="9"/>
        <color theme="1"/>
        <rFont val="HGPｺﾞｼｯｸE"/>
        <family val="3"/>
        <charset val="128"/>
      </rPr>
      <t xml:space="preserve">
(mg)</t>
    </r>
    <phoneticPr fontId="3"/>
  </si>
  <si>
    <t>Calorie (Kcal)</t>
    <phoneticPr fontId="3"/>
  </si>
  <si>
    <t>Protein (g)</t>
    <phoneticPr fontId="3"/>
  </si>
  <si>
    <t>Water (mL)</t>
    <phoneticPr fontId="3"/>
  </si>
  <si>
    <t>(e.g. Meals, Drinks)</t>
    <phoneticPr fontId="3"/>
  </si>
  <si>
    <t>Others</t>
    <phoneticPr fontId="3"/>
  </si>
  <si>
    <t>ESPEN guideline on clinical nutrition in liver disease (2018)
1) Due to considerable inter-individual variability, REE should be measured using indirect calorimetry, if available. (BM)
2) Patients with chronic liver disease and a sedentary lifestyle should receive a total energy supply of 1.3 x REE. (BM)
3) Liver disease patients should be screened for malnutrition using a validated tool.
4) In NASH, cirrhosis and LT, the presence or absence of sarcopenia should be assessed since sarcopenia is a strong predictor of
mortality and morbidity. (BM)
5) Radiologic methods (DXA or when CT/MRT images are available for other reasons) should be used to diagnose sarcopenia.
(BM)
6) In malnourished ALF patients enteral nutrition (EN) and/or parenteral nutrition (PN) should be initiated promptly, as in other critically ill patients.
7) ALF patients without malnutrition should be provided with nutritional support (preferentially EN) when they are considered unlikely to resume normal oral nutrition within the next five to seven days, as in other critical Illness.
https://www.espen.org/files/ESPEN-Guidelines/ESPEN_guideline-on-clinical-nutrition-in-the-intensive-care-unit.pdf</t>
    <phoneticPr fontId="3"/>
  </si>
  <si>
    <r>
      <t xml:space="preserve">ESPEN guidelines on nutrition in cancer patients (2016)
1) To detect nutritional disturbances at an early stage, we recommend to regularly evaluate nutritional intake, weight change and BMI, 
beginning with cancer diagnosis and repeated depending on the stability of the clinical situation.
2) In patients with abnormal screening, we recommend objective and quantitative assessment of nutritional intake, nutrition impact
symptoms, muscle mass, physical performance and the degree of systemic inflammation.
3) We recommend, that total energy expenditure of cancer patients, if not measured individually, be assumed to be similar to healthy subjects and generally ranging between </t>
    </r>
    <r>
      <rPr>
        <sz val="11"/>
        <color rgb="FFFF0000"/>
        <rFont val="Arial"/>
        <family val="2"/>
      </rPr>
      <t>25 and 30 kcal/kg/day</t>
    </r>
    <r>
      <rPr>
        <sz val="11"/>
        <color theme="1"/>
        <rFont val="Arial"/>
        <family val="2"/>
      </rPr>
      <t xml:space="preserve">.
4) We recommend that protein intake should be </t>
    </r>
    <r>
      <rPr>
        <sz val="11"/>
        <color rgb="FFFF0000"/>
        <rFont val="Arial"/>
        <family val="2"/>
      </rPr>
      <t>above 1 g/kg/day</t>
    </r>
    <r>
      <rPr>
        <sz val="11"/>
        <color theme="1"/>
        <rFont val="Arial"/>
        <family val="2"/>
      </rPr>
      <t xml:space="preserve"> and, if possible up to 1.5 g/kg/day.
5) In weight-losing cancer patients with insulin resistance we recommend to increase the ratio of energy from fat to energy from
carbohydrates. This is intended to increase the energy density of the diet and to reducethe glycemic load.
6)We recommend that vitamins and minerals be supplied in amounts approximately equal to the RDA and discourage the use of high-dose micronutrients in the absence of specific deficiencies.
7) We recommend nutritional intervention to increase oral intake in cancer patients who are able to eat but are malnourished or at risk
of malnutrition. This includes dietary advice, the treatment of symptoms and derangements impairing food intake (nutrition impact
symptoms), and offering oral nutritional supplements.
https://www.espen.org/files/ESPEN-guideline_Clinical-nutrition-in-surgery.pdf</t>
    </r>
    <phoneticPr fontId="3"/>
  </si>
  <si>
    <t>BFLUID 1000mL</t>
    <phoneticPr fontId="3"/>
  </si>
  <si>
    <t>Others</t>
    <phoneticPr fontId="3"/>
  </si>
  <si>
    <t>Name</t>
    <phoneticPr fontId="3"/>
  </si>
  <si>
    <t>Water Intake</t>
    <phoneticPr fontId="3"/>
  </si>
  <si>
    <t>Urine Output</t>
    <phoneticPr fontId="3"/>
  </si>
  <si>
    <t>Balance</t>
    <phoneticPr fontId="3"/>
  </si>
  <si>
    <t>mL</t>
    <phoneticPr fontId="3"/>
  </si>
  <si>
    <t>mL</t>
    <phoneticPr fontId="3"/>
  </si>
  <si>
    <t>Total Sodium</t>
    <phoneticPr fontId="3"/>
  </si>
  <si>
    <t>g</t>
    <phoneticPr fontId="3"/>
  </si>
  <si>
    <t>mEq</t>
    <phoneticPr fontId="3"/>
  </si>
  <si>
    <t>Total Potassium</t>
    <phoneticPr fontId="3"/>
  </si>
  <si>
    <t>mEq</t>
    <phoneticPr fontId="3"/>
  </si>
  <si>
    <t>Aminoleban Injection 500mL</t>
    <phoneticPr fontId="3"/>
  </si>
  <si>
    <t>Celemin Nephro 500mL</t>
    <phoneticPr fontId="3"/>
  </si>
  <si>
    <t xml:space="preserve">in Otsuka products </t>
    <phoneticPr fontId="3"/>
  </si>
  <si>
    <t>763Kcal, Glu:79.5g, AA:30g, Fat:34g,
Na:13.5mEq, K:7.5mEq</t>
    <phoneticPr fontId="3"/>
  </si>
  <si>
    <t>210Kcal, Glu:37.5g, AA:15g, Fat:0g
Na:17.5mEq, K:10mEq</t>
    <phoneticPr fontId="3"/>
  </si>
  <si>
    <t>420Kcal, Glu:75g, AA:30g, Fat:0g
Na:35mEq, K:20mEq</t>
    <phoneticPr fontId="3"/>
  </si>
  <si>
    <t>160Kcal, Glu:0g, AA:40g, Fat:0g
Na:7mEq, K:0mEq</t>
    <phoneticPr fontId="3"/>
  </si>
  <si>
    <t>144Kcal, Glu:0g, AA:35g, Fat:0g
Na:0mEq, K:0mEq</t>
    <phoneticPr fontId="3"/>
  </si>
  <si>
    <t>Basic Information</t>
    <phoneticPr fontId="3"/>
  </si>
  <si>
    <t>Contraindication</t>
    <phoneticPr fontId="3"/>
  </si>
  <si>
    <t>1. Known hypersensitivity to egg or soy protein or to any of the ingredients.
2. Severe hyperlipaemia.
3. Severe liver insufficiency.
4. Severe blood coagulation disorders.
5. In born errors of amino acid metabolism.
6. Severe renal insufficiency without access to hemofiltration or dialysis.
7. Acute shock.
8. Hyperglycemia, which requires more than 6 units insulin/h
9. Pathologically elevated serum levels of any of the included electrolytes.</t>
    <phoneticPr fontId="3"/>
  </si>
  <si>
    <t>1. Patients with serious renal disorder.
2. Patients with abnormal amino acid metabolism [Because the infused amino acids are not adequately metabolized, the patient’s clinical condition may be worsened].</t>
    <phoneticPr fontId="3"/>
  </si>
  <si>
    <t>1. Disturbances of amino acid metabolism.
2. Hepatic coma.
3. Serious renal disturbances.
4. Hypernatremia and hyperkalemia.
5. Congestive cardiac failure.
6. Hyperhydration.
7. Metabolic acidosis.</t>
    <phoneticPr fontId="3"/>
  </si>
  <si>
    <t>Precautions</t>
    <phoneticPr fontId="3"/>
  </si>
  <si>
    <t>1. Patients with hepatic dysfunction.
2. Patients with renal dysfunction.
3. Patients with cardiovascular dysfunction.
4. Patients with acidosis.
5. Patients with diabetes mellitus.
6. Patients with known hypersensitivity to drugs.</t>
    <phoneticPr fontId="3"/>
  </si>
  <si>
    <t>1. Patients with hepatic dysfunction.
2. Patients with renal dysfunction.
3. Patients with cardiovascular dysfunction.
4. Patients with acidosis.
5. Patients with diabetes mellitus.
6. Patients with known hypersensitivity to drugs.</t>
    <phoneticPr fontId="3"/>
  </si>
  <si>
    <t>1. The ability to eliminate fat should be monitored. It is recommended that
this is done by measuring serum triglycerides after a fat-free period of 5-6 hours. TNATM-Peri are designed for adult patients.
2. Due to composition, TNATM-Peri is not suitable for the use in new-borns or infants under 2 years of age.
3. Disturbances of the electrolyte and fluid balance (e.g. abnormally high or low serum levels of the electrolytes) should be corrected before starting
the infusion.
4. Special clinical monitoring is required at the beginning of any intravenous infusion. If any abnormal sign occurs, the infusion must be stopped. Since an increased risk of infection is associated with the use of any central vein, strict aseptic precautions should be taken to avoid any contamination during catheter insertion and manipulation.</t>
    <phoneticPr fontId="3"/>
  </si>
  <si>
    <t>1. Patients with severe renal disorder.
2. Patients with abnormal amino acid metabolism other than hepatic disorder.
3. Patients with severe acidosis.
4. Patients with congestive heart failure.
Other Precautions:
1. Sodium and Chloride are formulated in volumes of about 14 and
94 mEq/L, respectively. Concomitant use with electrolyte solutions and the
administration of the solution in large doses require careful monitoring of
electrolyte values.</t>
    <phoneticPr fontId="3"/>
  </si>
  <si>
    <t>1. Signs of intolerance and increased renal losses accompanied by amino acid imbalance may develop if the solution is infused too rapidly.
2. The fluid balance, serum electrolytes, blood sugar levels, and acid base balance must be monitored.
3. For long term therapy, fat should be included in the dietary regimen in order to avoid essential fatty acid deficiency.
4. The solution is unsuitable for long term parental use as it does not contain adequate nonessential amino acids.</t>
    <phoneticPr fontId="3"/>
  </si>
  <si>
    <t>1. Patients with hepatic coma or at risk of developing hepatic coma.
2. Patients with serious renal dysfunction or azotemia.
3. Patients with congestive heart failure.
4. Patients with severe acidosis.
5. Patients with abnormal electrolyte metabolism.
6. Patients with reduced urine output due to obstructive uropathy.
7. Patients with abnormal amino acid metabolism.
8. Patients with known hypersensitivity to thiamine chloride hydrochloride.</t>
    <phoneticPr fontId="3"/>
  </si>
  <si>
    <t>Semi-Solid 300g pouch, Corn flavor
300Kcal, Carbo:47g, Pro:15g, Fat:6.9g</t>
    <phoneticPr fontId="3"/>
  </si>
  <si>
    <t>Powder 15g sachet, Refreshing Lemon flavor
36Kcal, Glutamine:3g, Fiber:5g, Lactosucrose:2.5g</t>
    <phoneticPr fontId="3"/>
  </si>
  <si>
    <t>Powder 50g sachet, Orange flavor
210Kcal, Carbo:65g, Pro:13.5g, Fat:3.5g</t>
    <phoneticPr fontId="3"/>
  </si>
  <si>
    <r>
      <rPr>
        <b/>
        <sz val="11"/>
        <color theme="1"/>
        <rFont val="ＭＳ Ｐゴシック"/>
        <family val="3"/>
        <charset val="128"/>
      </rPr>
      <t>※</t>
    </r>
    <r>
      <rPr>
        <b/>
        <sz val="11"/>
        <color theme="1"/>
        <rFont val="Arial"/>
        <family val="2"/>
      </rPr>
      <t>Above units means scoops
Powder 400g can, 7 scoops(=60g)
Vanilla flavor, Melon flavor</t>
    </r>
    <r>
      <rPr>
        <sz val="11"/>
        <color theme="1"/>
        <rFont val="Arial"/>
        <family val="2"/>
      </rPr>
      <t xml:space="preserve">
</t>
    </r>
    <r>
      <rPr>
        <sz val="11"/>
        <color theme="1"/>
        <rFont val="ＭＳ Ｐゴシック"/>
        <family val="3"/>
        <charset val="128"/>
      </rPr>
      <t>■</t>
    </r>
    <r>
      <rPr>
        <sz val="11"/>
        <color theme="1"/>
        <rFont val="Arial"/>
        <family val="2"/>
      </rPr>
      <t>Per SCOOP: 36Kcal, Carbo:4.5g, Pro:2.2g, Fat:1g</t>
    </r>
    <phoneticPr fontId="3"/>
  </si>
  <si>
    <r>
      <rPr>
        <b/>
        <sz val="11"/>
        <color theme="1"/>
        <rFont val="ＭＳ Ｐゴシック"/>
        <family val="3"/>
        <charset val="128"/>
      </rPr>
      <t>※</t>
    </r>
    <r>
      <rPr>
        <b/>
        <sz val="11"/>
        <color theme="1"/>
        <rFont val="Arial"/>
        <family val="2"/>
      </rPr>
      <t>Above units means scoops</t>
    </r>
    <r>
      <rPr>
        <sz val="11"/>
        <color theme="1"/>
        <rFont val="Arial"/>
        <family val="2"/>
      </rPr>
      <t xml:space="preserve">
Powder 400g can, 2 scoops(=25g), Vanilla flavor
</t>
    </r>
    <r>
      <rPr>
        <sz val="11"/>
        <color theme="1"/>
        <rFont val="ＭＳ Ｐゴシック"/>
        <family val="3"/>
        <charset val="128"/>
      </rPr>
      <t>■</t>
    </r>
    <r>
      <rPr>
        <sz val="11"/>
        <color theme="1"/>
        <rFont val="Arial"/>
        <family val="2"/>
      </rPr>
      <t>Per SCOOP: 44.5Kcal, Carbo:5.7g, Pro:5.7g, Fat:0g</t>
    </r>
    <phoneticPr fontId="3"/>
  </si>
  <si>
    <t>Adverse Reactions</t>
    <phoneticPr fontId="3"/>
  </si>
  <si>
    <r>
      <t>Reported incidence rates are based on the results obtained</t>
    </r>
    <r>
      <rPr>
        <sz val="11"/>
        <color theme="1"/>
        <rFont val="ＭＳ Ｐゴシック"/>
        <family val="3"/>
        <charset val="128"/>
      </rPr>
      <t>　</t>
    </r>
    <r>
      <rPr>
        <sz val="11"/>
        <color theme="1"/>
        <rFont val="Arial"/>
        <family val="2"/>
      </rPr>
      <t xml:space="preserve">for 50 patients who had undergone gastrointestinal surgery in a phase III clinical study. With regard to adverse events (clinically significant adverse reactions), a total of 8 patients (16.0%) experienced 11 adverse reactions, including </t>
    </r>
    <r>
      <rPr>
        <b/>
        <sz val="11"/>
        <color theme="1"/>
        <rFont val="Arial"/>
        <family val="2"/>
      </rPr>
      <t>vascular pain (3), phlebitis (4)</t>
    </r>
    <r>
      <rPr>
        <sz val="11"/>
        <color theme="1"/>
        <rFont val="Arial"/>
        <family val="2"/>
      </rPr>
      <t>, and chest discomfort (1) in a total of 7 patients as subjective or objective manifestations and elevated serum AST (GOT) levels (1), elevated serum ALT (GPT) levels (1), and elevated serum ALP levels (1) in a total of 1 patient as abnormal changes in laboratory data. (These data were obtained at the time of drug approval in Japan, 2006.)</t>
    </r>
    <phoneticPr fontId="3"/>
  </si>
  <si>
    <t>Do not inject directly!</t>
  </si>
  <si>
    <r>
      <t>BCAA</t>
    </r>
    <r>
      <rPr>
        <b/>
        <sz val="8"/>
        <color rgb="FFFFFF00"/>
        <rFont val="HGPｺﾞｼｯｸE"/>
        <family val="3"/>
        <charset val="128"/>
      </rPr>
      <t/>
    </r>
    <phoneticPr fontId="3"/>
  </si>
  <si>
    <t>term</t>
    <phoneticPr fontId="3"/>
  </si>
  <si>
    <t>kcal/day</t>
    <phoneticPr fontId="3"/>
  </si>
  <si>
    <t>g/day</t>
    <phoneticPr fontId="3"/>
  </si>
  <si>
    <t>term</t>
    <phoneticPr fontId="3"/>
  </si>
  <si>
    <t>ESPEN guideline on clinical nutrition in the intensive care unit (2019)
1) Medical nutrition therapy shall be considered for all patients staying in the ICU, mainly for more than 48 h
2) A general clinical assessment should be performed to assess malnutrition in the ICU, until a specific tool has been validated.
Remark: General clinical assessment could include anamnesis, report of unintentional weight loss or decrease in physical performance before ICU admission, physical examination, general assessment of body composition, and muscle mass and strength, if possible.
3) Oral diet shall be preferred over EN or PN in critically ill patients who are able to eat.
4) If oral intake is not possible, early EN (within 48 h) in critically ill adult patients should be performed/initiated rather than delaying EN
5) If oral intake is not possible, early EN (within 48 h) shall be performed/initiated in critically ill adult patients rather than early PN
6) In case of contraindications to oral and EN, PN should be implemented within three to seven days Grade of recommendation:
7) Early and progressive PN can be provided instead of no nutrition in case of contraindications for EN in severely malnourished patients
https://www.espen.org/files/ESPEN-Guidelines/ESPEN_guideline-on-clinical-nutrition-in-the-intensive-care-unit.pdf</t>
    <phoneticPr fontId="3"/>
  </si>
  <si>
    <t>ESPEN guideline on clinical nutrition in the intensive care unit (2019)
1) Medical nutrition therapy shall be considered for all patients staying in the ICU, mainly for more than 48 h
2) A general clinical assessment should be performed to assess malnutrition in the ICU, until a specific tool has been validated.
Remark: General clinical assessment could include anamnesis, report of unintentional weight loss or decrease in physical performance before ICU admission, physical examination, general assessment of body composition, and muscle mass and strength, if possible.
3) Oral diet shall be preferred over EN or PN in critically ill patients who are able to eat.
4) If oral intake is not possible, early EN (within 48 h) in critically ill adult patients should be performed/initiated rather than delaying EN
5) If oral intake is not possible, early EN (within 48 h) shall be performed/initiated in critically ill adult patients rather than early PN
6) In case of contraindications to oral and EN, PN should be implemented within three to seven days.
7) Early and progressive PN can be provided instead of no nutrition in case of contraindications for EN in severely malnourished patients
https://www.espen.org/files/ESPEN-Guidelines/ESPEN_guideline-on-clinical-nutrition-in-the-intensive-care-unit.pdf</t>
    <phoneticPr fontId="3"/>
  </si>
  <si>
    <t>TNA Peri</t>
    <phoneticPr fontId="3"/>
  </si>
  <si>
    <t>Celemin Nephro</t>
    <phoneticPr fontId="3"/>
  </si>
  <si>
    <t>Aminoleban IV</t>
    <phoneticPr fontId="3"/>
  </si>
  <si>
    <t>Aminoleban Oral</t>
    <phoneticPr fontId="3"/>
  </si>
  <si>
    <t>NEO-MUNE</t>
    <phoneticPr fontId="3"/>
  </si>
  <si>
    <t>HINEX jelly</t>
    <phoneticPr fontId="3"/>
  </si>
  <si>
    <t>HINEX HP</t>
    <phoneticPr fontId="3"/>
  </si>
  <si>
    <t>GFO</t>
    <phoneticPr fontId="3"/>
  </si>
  <si>
    <t>Cancer</t>
  </si>
  <si>
    <t>Price computation based on retail price in Mercury Drug</t>
    <phoneticPr fontId="3"/>
  </si>
  <si>
    <r>
      <rPr>
        <sz val="11"/>
        <color rgb="FFFF0000"/>
        <rFont val="HGPｺﾞｼｯｸE"/>
        <family val="3"/>
        <charset val="128"/>
      </rPr>
      <t>※</t>
    </r>
    <r>
      <rPr>
        <sz val="11"/>
        <color rgb="FFFF0000"/>
        <rFont val="Arial"/>
        <family val="2"/>
      </rPr>
      <t xml:space="preserve">Attention: The following reccomendations are just first seven topics. If you want to see other topics or full artcles, visit web-site as below. </t>
    </r>
    <phoneticPr fontId="3"/>
  </si>
  <si>
    <r>
      <t>Others</t>
    </r>
    <r>
      <rPr>
        <sz val="8"/>
        <color theme="1"/>
        <rFont val="Arial"/>
        <family val="2"/>
      </rPr>
      <t xml:space="preserve"> </t>
    </r>
    <phoneticPr fontId="3"/>
  </si>
  <si>
    <r>
      <t>PN</t>
    </r>
    <r>
      <rPr>
        <sz val="11"/>
        <color theme="1"/>
        <rFont val="HGPｺﾞｼｯｸE"/>
        <family val="3"/>
        <charset val="128"/>
      </rPr>
      <t>①</t>
    </r>
    <phoneticPr fontId="3"/>
  </si>
  <si>
    <r>
      <t>PN</t>
    </r>
    <r>
      <rPr>
        <sz val="11"/>
        <color theme="1"/>
        <rFont val="HGPｺﾞｼｯｸE"/>
        <family val="3"/>
        <charset val="128"/>
      </rPr>
      <t>②</t>
    </r>
    <phoneticPr fontId="3"/>
  </si>
  <si>
    <r>
      <t>PN</t>
    </r>
    <r>
      <rPr>
        <sz val="11"/>
        <color rgb="FFFF0000"/>
        <rFont val="HGPｺﾞｼｯｸE"/>
        <family val="3"/>
        <charset val="128"/>
      </rPr>
      <t>①　</t>
    </r>
    <r>
      <rPr>
        <sz val="11"/>
        <color rgb="FFFF0000"/>
        <rFont val="Arial"/>
        <family val="2"/>
      </rPr>
      <t>Contraindications</t>
    </r>
    <phoneticPr fontId="3"/>
  </si>
  <si>
    <r>
      <t>PN</t>
    </r>
    <r>
      <rPr>
        <sz val="11"/>
        <color rgb="FFFF0000"/>
        <rFont val="HGPｺﾞｼｯｸE"/>
        <family val="3"/>
        <charset val="128"/>
      </rPr>
      <t>②　</t>
    </r>
    <r>
      <rPr>
        <sz val="11"/>
        <color rgb="FFFF0000"/>
        <rFont val="Arial"/>
        <family val="2"/>
      </rPr>
      <t>Contraindications</t>
    </r>
    <phoneticPr fontId="3"/>
  </si>
  <si>
    <r>
      <t>PN</t>
    </r>
    <r>
      <rPr>
        <sz val="11"/>
        <color theme="1"/>
        <rFont val="HGPｺﾞｼｯｸE"/>
        <family val="3"/>
        <charset val="128"/>
      </rPr>
      <t>①：　</t>
    </r>
    <r>
      <rPr>
        <sz val="11"/>
        <color theme="1"/>
        <rFont val="Arial"/>
        <family val="2"/>
      </rPr>
      <t>Adverse Reactions</t>
    </r>
    <phoneticPr fontId="3"/>
  </si>
  <si>
    <r>
      <t>PN</t>
    </r>
    <r>
      <rPr>
        <sz val="11"/>
        <color theme="1"/>
        <rFont val="HGPｺﾞｼｯｸE"/>
        <family val="3"/>
        <charset val="128"/>
      </rPr>
      <t>②：　</t>
    </r>
    <r>
      <rPr>
        <sz val="11"/>
        <color theme="1"/>
        <rFont val="Arial"/>
        <family val="2"/>
      </rPr>
      <t>Adverse Reactions</t>
    </r>
    <phoneticPr fontId="3"/>
  </si>
  <si>
    <r>
      <rPr>
        <sz val="11"/>
        <color rgb="FFFF0000"/>
        <rFont val="HGPｺﾞｼｯｸE"/>
        <family val="3"/>
        <charset val="128"/>
      </rPr>
      <t>※</t>
    </r>
    <r>
      <rPr>
        <sz val="11"/>
        <color rgb="FFFF0000"/>
        <rFont val="Arial"/>
        <family val="2"/>
      </rPr>
      <t xml:space="preserve">Attention: The above rader charts are just computed based on reflecting PDRI reccomended amount. </t>
    </r>
    <phoneticPr fontId="3"/>
  </si>
  <si>
    <r>
      <rPr>
        <sz val="11"/>
        <color theme="1"/>
        <rFont val="HGPｺﾞｼｯｸE"/>
        <family val="3"/>
        <charset val="128"/>
      </rPr>
      <t>≧</t>
    </r>
    <r>
      <rPr>
        <sz val="11"/>
        <color theme="1"/>
        <rFont val="Arial"/>
        <family val="2"/>
      </rPr>
      <t>70y</t>
    </r>
    <phoneticPr fontId="3"/>
  </si>
  <si>
    <t>daily amount</t>
    <phoneticPr fontId="3"/>
  </si>
  <si>
    <t>bag(s)</t>
    <phoneticPr fontId="3"/>
  </si>
  <si>
    <t>bottle(s)</t>
    <phoneticPr fontId="3"/>
  </si>
  <si>
    <t>scoop(s)</t>
    <phoneticPr fontId="3"/>
  </si>
  <si>
    <t>pouch(es)</t>
    <phoneticPr fontId="3"/>
  </si>
  <si>
    <t>sachet(s)</t>
    <phoneticPr fontId="3"/>
  </si>
  <si>
    <t>Rx</t>
    <phoneticPr fontId="3"/>
  </si>
  <si>
    <t>Terms</t>
    <phoneticPr fontId="3"/>
  </si>
  <si>
    <t>day(s)</t>
    <phoneticPr fontId="3"/>
  </si>
  <si>
    <t>SUM</t>
    <phoneticPr fontId="3"/>
  </si>
  <si>
    <t>Price @ Mercury</t>
    <phoneticPr fontId="3"/>
  </si>
  <si>
    <t>Php</t>
    <phoneticPr fontId="3"/>
  </si>
  <si>
    <t>BFLUID 500mL</t>
    <phoneticPr fontId="3"/>
  </si>
  <si>
    <t>can(s)</t>
    <phoneticPr fontId="3"/>
  </si>
  <si>
    <t>box(es)</t>
    <phoneticPr fontId="3"/>
  </si>
  <si>
    <t>Total Cost</t>
    <phoneticPr fontId="3"/>
  </si>
  <si>
    <t>pouch(es)</t>
    <phoneticPr fontId="3"/>
  </si>
  <si>
    <t>Guidelines</t>
    <phoneticPr fontId="3"/>
  </si>
  <si>
    <t>(4+2)</t>
    <phoneticPr fontId="3"/>
  </si>
  <si>
    <t xml:space="preserve">Name: </t>
  </si>
  <si>
    <t>Address:</t>
  </si>
  <si>
    <t>Gender:</t>
  </si>
  <si>
    <t>Male</t>
  </si>
  <si>
    <t>Female</t>
  </si>
  <si>
    <t>Date of Birth:</t>
  </si>
  <si>
    <t>Marital Status:</t>
  </si>
  <si>
    <t>Single</t>
  </si>
  <si>
    <t>Married</t>
  </si>
  <si>
    <t>Separated</t>
  </si>
  <si>
    <t>Widowed</t>
  </si>
  <si>
    <t>Date:</t>
  </si>
  <si>
    <t>Height:</t>
  </si>
  <si>
    <t>Weight:</t>
  </si>
  <si>
    <t>BMI:</t>
  </si>
  <si>
    <t>_______________________________________________</t>
  </si>
  <si>
    <t>Date: ____________</t>
  </si>
  <si>
    <t>Month</t>
  </si>
  <si>
    <t>Day</t>
  </si>
  <si>
    <t>Year</t>
  </si>
  <si>
    <t>Age:</t>
  </si>
  <si>
    <t>Diagnosis:</t>
  </si>
  <si>
    <t>Occupation:</t>
  </si>
  <si>
    <t>____________________________________</t>
  </si>
  <si>
    <t>Laboratory results:</t>
  </si>
  <si>
    <t>SGPT</t>
  </si>
  <si>
    <t>Cholesterol</t>
  </si>
  <si>
    <t>HDL</t>
  </si>
  <si>
    <t>LDL</t>
  </si>
  <si>
    <t>Triglycerides</t>
  </si>
  <si>
    <t>VLDL</t>
  </si>
  <si>
    <t>Glucose (Fasting)</t>
  </si>
  <si>
    <t>Uric Acid</t>
  </si>
  <si>
    <t>HBA1C</t>
  </si>
  <si>
    <t>Graph</t>
  </si>
  <si>
    <t>Allergies:</t>
  </si>
  <si>
    <t>Nutrition Parameters:</t>
  </si>
  <si>
    <t>Weight</t>
  </si>
  <si>
    <t>BMI</t>
  </si>
  <si>
    <t>Albumin</t>
  </si>
  <si>
    <t>Plan:</t>
  </si>
  <si>
    <t>Date of next visit:</t>
  </si>
  <si>
    <t>Medication:</t>
  </si>
  <si>
    <t>Laboratories:</t>
  </si>
  <si>
    <t>Medical Procedures:</t>
  </si>
  <si>
    <t>Creatinine</t>
  </si>
  <si>
    <t>Vital signs:</t>
  </si>
  <si>
    <t>BP:</t>
  </si>
  <si>
    <t>HR:</t>
  </si>
  <si>
    <t>RR:</t>
  </si>
  <si>
    <t>Temp:</t>
  </si>
  <si>
    <t>________________________________________________________</t>
  </si>
  <si>
    <t>Contact #: __________________________</t>
  </si>
  <si>
    <t>_________________________________________________________________________________________</t>
  </si>
  <si>
    <t>Pertinent History:</t>
  </si>
  <si>
    <t>Pertinent Physical Exam:</t>
  </si>
  <si>
    <t>SGOT</t>
  </si>
  <si>
    <t>BUN</t>
  </si>
  <si>
    <t>Total Daily Fluid Intake</t>
  </si>
  <si>
    <t>Total Daily Caloric Intake</t>
  </si>
  <si>
    <t>Total Daily Protein Intake</t>
  </si>
  <si>
    <t>Medication History:</t>
  </si>
  <si>
    <t>BSA:</t>
  </si>
  <si>
    <t>BSA</t>
  </si>
  <si>
    <t>(Ohers:)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</si>
</sst>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_);[Red]\(0.00\)"/>
    <numFmt numFmtId="165" formatCode="0_);[Red]\(0\)"/>
    <numFmt numFmtId="166" formatCode="0_)"/>
    <numFmt numFmtId="167" formatCode="0.0"/>
    <numFmt numFmtId="168" formatCode="0.000"/>
    <numFmt numFmtId="169" formatCode="0.00_ "/>
    <numFmt numFmtId="170" formatCode="#,##0.0;[Red]\-#,##0.0"/>
  </numFmts>
  <fonts count="72">
    <font>
      <sz val="11"/>
      <color theme="1"/>
      <name val="Calibri"/>
      <family val="2"/>
      <charset val="128"/>
      <scheme val="minor"/>
    </font>
    <font>
      <sz val="11"/>
      <color theme="1"/>
      <name val="Calibri"/>
      <family val="2"/>
      <scheme val="minor"/>
    </font>
    <font>
      <sz val="11"/>
      <color theme="1"/>
      <name val="Calibri"/>
      <family val="2"/>
      <scheme val="minor"/>
    </font>
    <font>
      <sz val="6"/>
      <name val="Calibri"/>
      <family val="2"/>
      <charset val="128"/>
      <scheme val="minor"/>
    </font>
    <font>
      <sz val="9"/>
      <color theme="1"/>
      <name val="ＭＳ Ｐゴシック"/>
      <family val="3"/>
      <charset val="128"/>
    </font>
    <font>
      <sz val="6"/>
      <name val="明朝"/>
      <family val="1"/>
      <charset val="128"/>
    </font>
    <font>
      <sz val="11"/>
      <color theme="1"/>
      <name val="HGPｺﾞｼｯｸE"/>
      <family val="3"/>
      <charset val="128"/>
    </font>
    <font>
      <sz val="9"/>
      <name val="HGPｺﾞｼｯｸE"/>
      <family val="3"/>
      <charset val="128"/>
    </font>
    <font>
      <vertAlign val="subscript"/>
      <sz val="9"/>
      <color theme="1"/>
      <name val="HGPｺﾞｼｯｸE"/>
      <family val="3"/>
      <charset val="128"/>
    </font>
    <font>
      <sz val="9"/>
      <color theme="1"/>
      <name val="HGPｺﾞｼｯｸE"/>
      <family val="3"/>
      <charset val="128"/>
    </font>
    <font>
      <sz val="11"/>
      <color rgb="FF000000"/>
      <name val="HGPｺﾞｼｯｸE"/>
      <family val="3"/>
      <charset val="128"/>
    </font>
    <font>
      <sz val="11"/>
      <color theme="1"/>
      <name val="Arial"/>
      <family val="2"/>
    </font>
    <font>
      <sz val="12"/>
      <color theme="1"/>
      <name val="HGPｺﾞｼｯｸE"/>
      <family val="3"/>
      <charset val="128"/>
    </font>
    <font>
      <sz val="6"/>
      <color theme="1"/>
      <name val="HGPｺﾞｼｯｸE"/>
      <family val="3"/>
      <charset val="128"/>
    </font>
    <font>
      <sz val="11"/>
      <color theme="0"/>
      <name val="HGPｺﾞｼｯｸE"/>
      <family val="3"/>
      <charset val="128"/>
    </font>
    <font>
      <b/>
      <sz val="11"/>
      <color rgb="FFFF0000"/>
      <name val="HGPｺﾞｼｯｸE"/>
      <family val="3"/>
      <charset val="128"/>
    </font>
    <font>
      <b/>
      <sz val="9"/>
      <color rgb="FFFF0000"/>
      <name val="HGPｺﾞｼｯｸE"/>
      <family val="3"/>
      <charset val="128"/>
    </font>
    <font>
      <b/>
      <sz val="16"/>
      <color rgb="FFFF0000"/>
      <name val="HGPｺﾞｼｯｸE"/>
      <family val="3"/>
      <charset val="128"/>
    </font>
    <font>
      <sz val="14"/>
      <color theme="0"/>
      <name val="HGPｺﾞｼｯｸE"/>
      <family val="3"/>
      <charset val="128"/>
    </font>
    <font>
      <sz val="11"/>
      <color theme="1"/>
      <name val="Calibri"/>
      <family val="2"/>
      <charset val="128"/>
      <scheme val="minor"/>
    </font>
    <font>
      <sz val="11"/>
      <name val="HGPｺﾞｼｯｸE"/>
      <family val="3"/>
      <charset val="128"/>
    </font>
    <font>
      <b/>
      <sz val="16"/>
      <color rgb="FFFFFF00"/>
      <name val="HGPｺﾞｼｯｸE"/>
      <family val="3"/>
      <charset val="128"/>
    </font>
    <font>
      <b/>
      <sz val="14"/>
      <color rgb="FFFF0000"/>
      <name val="HGPｺﾞｼｯｸE"/>
      <family val="3"/>
      <charset val="128"/>
    </font>
    <font>
      <sz val="11"/>
      <color rgb="FFFF0000"/>
      <name val="HGPｺﾞｼｯｸE"/>
      <family val="3"/>
      <charset val="128"/>
    </font>
    <font>
      <sz val="11"/>
      <color theme="0"/>
      <name val="Arial"/>
      <family val="2"/>
    </font>
    <font>
      <sz val="12"/>
      <color rgb="FF002060"/>
      <name val="HGPｺﾞｼｯｸE"/>
      <family val="3"/>
      <charset val="128"/>
    </font>
    <font>
      <sz val="14"/>
      <color theme="1"/>
      <name val="HGPｺﾞｼｯｸE"/>
      <family val="3"/>
      <charset val="128"/>
    </font>
    <font>
      <sz val="16"/>
      <color theme="1"/>
      <name val="HGPｺﾞｼｯｸE"/>
      <family val="3"/>
      <charset val="128"/>
    </font>
    <font>
      <sz val="20"/>
      <color theme="8" tint="-0.499984740745262"/>
      <name val="HGPｺﾞｼｯｸE"/>
      <family val="3"/>
      <charset val="128"/>
    </font>
    <font>
      <sz val="11"/>
      <color theme="8" tint="-0.499984740745262"/>
      <name val="HGPｺﾞｼｯｸE"/>
      <family val="3"/>
      <charset val="128"/>
    </font>
    <font>
      <sz val="11"/>
      <color rgb="FFFF0000"/>
      <name val="Arial"/>
      <family val="2"/>
    </font>
    <font>
      <b/>
      <sz val="8"/>
      <color rgb="FFFFFF00"/>
      <name val="HGPｺﾞｼｯｸE"/>
      <family val="3"/>
      <charset val="128"/>
    </font>
    <font>
      <sz val="11"/>
      <color theme="1"/>
      <name val="ＭＳ Ｐゴシック"/>
      <family val="3"/>
      <charset val="128"/>
    </font>
    <font>
      <b/>
      <sz val="11"/>
      <color theme="1"/>
      <name val="ＭＳ Ｐゴシック"/>
      <family val="3"/>
      <charset val="128"/>
    </font>
    <font>
      <b/>
      <sz val="11"/>
      <color theme="1"/>
      <name val="Arial"/>
      <family val="2"/>
    </font>
    <font>
      <sz val="11"/>
      <color rgb="FF000000"/>
      <name val="Arial"/>
      <family val="2"/>
    </font>
    <font>
      <sz val="20"/>
      <color theme="8" tint="-0.499984740745262"/>
      <name val="Arial"/>
      <family val="2"/>
    </font>
    <font>
      <sz val="11"/>
      <color theme="8" tint="-0.499984740745262"/>
      <name val="Arial"/>
      <family val="2"/>
    </font>
    <font>
      <sz val="12"/>
      <color rgb="FF002060"/>
      <name val="Arial"/>
      <family val="2"/>
    </font>
    <font>
      <sz val="6"/>
      <color theme="1"/>
      <name val="Arial"/>
      <family val="2"/>
    </font>
    <font>
      <sz val="8"/>
      <color theme="1"/>
      <name val="Arial"/>
      <family val="2"/>
    </font>
    <font>
      <sz val="10"/>
      <color theme="0" tint="-0.499984740745262"/>
      <name val="Arial"/>
      <family val="2"/>
    </font>
    <font>
      <sz val="9"/>
      <color theme="0" tint="-0.499984740745262"/>
      <name val="Arial"/>
      <family val="2"/>
    </font>
    <font>
      <b/>
      <sz val="14"/>
      <color rgb="FFFF0000"/>
      <name val="Arial"/>
      <family val="2"/>
    </font>
    <font>
      <b/>
      <sz val="16"/>
      <color rgb="FFFF0000"/>
      <name val="Arial"/>
      <family val="2"/>
    </font>
    <font>
      <b/>
      <sz val="9"/>
      <color rgb="FFFF0000"/>
      <name val="Arial"/>
      <family val="2"/>
    </font>
    <font>
      <b/>
      <sz val="11"/>
      <color rgb="FFFF0000"/>
      <name val="Arial"/>
      <family val="2"/>
    </font>
    <font>
      <b/>
      <sz val="11"/>
      <color theme="0"/>
      <name val="Arial"/>
      <family val="2"/>
    </font>
    <font>
      <b/>
      <sz val="14"/>
      <color theme="0"/>
      <name val="Arial"/>
      <family val="2"/>
    </font>
    <font>
      <b/>
      <sz val="12"/>
      <color theme="0"/>
      <name val="Arial"/>
      <family val="2"/>
    </font>
    <font>
      <b/>
      <sz val="14"/>
      <color rgb="FFFFFF00"/>
      <name val="Arial"/>
      <family val="2"/>
    </font>
    <font>
      <b/>
      <sz val="16"/>
      <color rgb="FFFFFF00"/>
      <name val="Arial"/>
      <family val="2"/>
    </font>
    <font>
      <b/>
      <sz val="11"/>
      <color rgb="FFFFFF00"/>
      <name val="Arial"/>
      <family val="2"/>
    </font>
    <font>
      <sz val="11"/>
      <color rgb="FFFFFF00"/>
      <name val="Arial"/>
      <family val="2"/>
    </font>
    <font>
      <sz val="14"/>
      <color rgb="FF002060"/>
      <name val="Arial"/>
      <family val="2"/>
    </font>
    <font>
      <sz val="12"/>
      <color theme="1"/>
      <name val="Arial"/>
      <family val="2"/>
    </font>
    <font>
      <b/>
      <sz val="14"/>
      <color theme="1"/>
      <name val="Arial"/>
      <family val="2"/>
    </font>
    <font>
      <b/>
      <i/>
      <sz val="11"/>
      <color rgb="FFFF0000"/>
      <name val="Arial"/>
      <family val="2"/>
    </font>
    <font>
      <sz val="9"/>
      <color theme="1"/>
      <name val="Arial"/>
      <family val="2"/>
    </font>
    <font>
      <sz val="10"/>
      <color theme="1"/>
      <name val="Arial"/>
      <family val="2"/>
    </font>
    <font>
      <b/>
      <sz val="20"/>
      <color rgb="FF0070C0"/>
      <name val="Arial"/>
      <family val="2"/>
    </font>
    <font>
      <b/>
      <sz val="24"/>
      <color theme="1"/>
      <name val="Arial"/>
      <family val="2"/>
    </font>
    <font>
      <b/>
      <sz val="12"/>
      <color theme="1"/>
      <name val="Arial"/>
      <family val="2"/>
    </font>
    <font>
      <b/>
      <sz val="12"/>
      <color rgb="FFC00000"/>
      <name val="Arial"/>
      <family val="2"/>
    </font>
    <font>
      <b/>
      <sz val="11"/>
      <color theme="1"/>
      <name val="Calibri"/>
      <family val="2"/>
      <scheme val="minor"/>
    </font>
    <font>
      <i/>
      <sz val="11"/>
      <color theme="1"/>
      <name val="Calibri"/>
      <family val="2"/>
      <scheme val="minor"/>
    </font>
    <font>
      <sz val="10"/>
      <color theme="1"/>
      <name val="Calibri"/>
      <family val="2"/>
      <charset val="128"/>
      <scheme val="minor"/>
    </font>
    <font>
      <b/>
      <sz val="9"/>
      <color theme="1"/>
      <name val="Calibri"/>
      <family val="2"/>
      <scheme val="minor"/>
    </font>
    <font>
      <i/>
      <sz val="11"/>
      <color rgb="FF00B050"/>
      <name val="Calibri"/>
      <family val="2"/>
      <scheme val="minor"/>
    </font>
    <font>
      <i/>
      <sz val="10"/>
      <color theme="1"/>
      <name val="Calibri"/>
      <family val="2"/>
      <scheme val="minor"/>
    </font>
    <font>
      <sz val="11"/>
      <color rgb="FFFF0000"/>
      <name val="Calibri"/>
      <family val="2"/>
      <charset val="128"/>
      <scheme val="minor"/>
    </font>
    <font>
      <i/>
      <sz val="11"/>
      <color rgb="FFFF0000"/>
      <name val="Calibri"/>
      <family val="2"/>
      <scheme val="minor"/>
    </font>
  </fonts>
  <fills count="24">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0070C0"/>
        <bgColor indexed="64"/>
      </patternFill>
    </fill>
    <fill>
      <patternFill patternType="solid">
        <fgColor rgb="FFC00000"/>
        <bgColor indexed="64"/>
      </patternFill>
    </fill>
    <fill>
      <patternFill patternType="solid">
        <fgColor theme="9" tint="-0.499984740745262"/>
        <bgColor indexed="64"/>
      </patternFill>
    </fill>
    <fill>
      <patternFill patternType="solid">
        <fgColor rgb="FF7030A0"/>
        <bgColor indexed="64"/>
      </patternFill>
    </fill>
  </fills>
  <borders count="57">
    <border>
      <left/>
      <right/>
      <top/>
      <bottom/>
      <diagonal/>
    </border>
    <border>
      <left style="hair">
        <color indexed="64"/>
      </left>
      <right style="hair">
        <color indexed="64"/>
      </right>
      <top style="hair">
        <color indexed="64"/>
      </top>
      <bottom/>
      <diagonal/>
    </border>
    <border>
      <left/>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style="thin">
        <color auto="1"/>
      </left>
      <right style="thin">
        <color auto="1"/>
      </right>
      <top/>
      <bottom/>
      <diagonal/>
    </border>
  </borders>
  <cellStyleXfs count="3">
    <xf numFmtId="0" fontId="0" fillId="0" borderId="0">
      <alignment vertical="center"/>
    </xf>
    <xf numFmtId="9" fontId="19" fillId="0" borderId="0" applyFont="0" applyFill="0" applyBorder="0" applyAlignment="0" applyProtection="0">
      <alignment vertical="center"/>
    </xf>
    <xf numFmtId="38" fontId="19" fillId="0" borderId="0" applyFont="0" applyFill="0" applyBorder="0" applyAlignment="0" applyProtection="0">
      <alignment vertical="center"/>
    </xf>
  </cellStyleXfs>
  <cellXfs count="415">
    <xf numFmtId="0" fontId="0" fillId="0" borderId="0" xfId="0">
      <alignment vertical="center"/>
    </xf>
    <xf numFmtId="0" fontId="6" fillId="2" borderId="0" xfId="0" applyFont="1" applyFill="1">
      <alignment vertical="center"/>
    </xf>
    <xf numFmtId="0" fontId="6" fillId="0" borderId="0" xfId="0" applyFont="1">
      <alignment vertical="center"/>
    </xf>
    <xf numFmtId="0" fontId="9" fillId="2"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4" borderId="1" xfId="0" applyFont="1" applyFill="1" applyBorder="1" applyAlignment="1">
      <alignment horizontal="center" vertical="center"/>
    </xf>
    <xf numFmtId="0" fontId="6" fillId="0" borderId="0" xfId="0" applyFont="1" applyBorder="1">
      <alignment vertical="center"/>
    </xf>
    <xf numFmtId="0" fontId="6" fillId="0" borderId="5" xfId="0" applyFont="1" applyBorder="1">
      <alignment vertical="center"/>
    </xf>
    <xf numFmtId="0" fontId="12" fillId="8" borderId="5" xfId="0" applyFont="1" applyFill="1" applyBorder="1">
      <alignment vertical="center"/>
    </xf>
    <xf numFmtId="0" fontId="12" fillId="8" borderId="6" xfId="0" applyFont="1" applyFill="1" applyBorder="1" applyAlignment="1">
      <alignment horizontal="center" vertical="center"/>
    </xf>
    <xf numFmtId="1" fontId="6" fillId="0" borderId="5" xfId="0" applyNumberFormat="1" applyFont="1" applyBorder="1">
      <alignment vertical="center"/>
    </xf>
    <xf numFmtId="1" fontId="6" fillId="0" borderId="6" xfId="0" applyNumberFormat="1" applyFont="1" applyBorder="1">
      <alignment vertical="center"/>
    </xf>
    <xf numFmtId="2" fontId="6" fillId="0" borderId="5" xfId="0" applyNumberFormat="1" applyFont="1" applyBorder="1">
      <alignment vertical="center"/>
    </xf>
    <xf numFmtId="168" fontId="6" fillId="0" borderId="6" xfId="0" applyNumberFormat="1" applyFont="1" applyBorder="1">
      <alignment vertical="center"/>
    </xf>
    <xf numFmtId="0" fontId="12" fillId="0" borderId="5" xfId="0" applyFont="1" applyBorder="1">
      <alignment vertical="center"/>
    </xf>
    <xf numFmtId="0" fontId="12" fillId="0" borderId="6" xfId="0" applyFont="1" applyBorder="1" applyAlignment="1">
      <alignment horizontal="center" vertical="center"/>
    </xf>
    <xf numFmtId="167" fontId="6" fillId="0" borderId="5" xfId="0" applyNumberFormat="1" applyFont="1" applyBorder="1">
      <alignment vertical="center"/>
    </xf>
    <xf numFmtId="0" fontId="6" fillId="10" borderId="5"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9" fillId="2" borderId="4" xfId="0" applyFont="1" applyFill="1" applyBorder="1" applyAlignment="1">
      <alignment horizontal="center" vertical="center"/>
    </xf>
    <xf numFmtId="0" fontId="6" fillId="2" borderId="5" xfId="0" applyFont="1" applyFill="1" applyBorder="1">
      <alignment vertical="center"/>
    </xf>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164" fontId="7" fillId="6" borderId="5" xfId="0" applyNumberFormat="1" applyFont="1" applyFill="1" applyBorder="1" applyAlignment="1">
      <alignment horizontal="center" vertical="center" wrapText="1"/>
    </xf>
    <xf numFmtId="164" fontId="7" fillId="2" borderId="5" xfId="0" applyNumberFormat="1" applyFont="1" applyFill="1" applyBorder="1" applyAlignment="1">
      <alignment horizontal="center" vertical="center" wrapText="1"/>
    </xf>
    <xf numFmtId="165" fontId="7" fillId="2" borderId="5" xfId="0" applyNumberFormat="1"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6" fillId="0" borderId="5" xfId="0" applyNumberFormat="1" applyFont="1" applyBorder="1">
      <alignment vertical="center"/>
    </xf>
    <xf numFmtId="166" fontId="10" fillId="5" borderId="5" xfId="0" applyNumberFormat="1" applyFont="1" applyFill="1" applyBorder="1" applyAlignment="1">
      <alignment horizontal="right" vertical="top"/>
    </xf>
    <xf numFmtId="0" fontId="6" fillId="0" borderId="0" xfId="0" applyFont="1" applyFill="1" applyBorder="1">
      <alignment vertical="center"/>
    </xf>
    <xf numFmtId="14" fontId="6" fillId="0" borderId="0" xfId="0" applyNumberFormat="1" applyFont="1">
      <alignment vertical="center"/>
    </xf>
    <xf numFmtId="0" fontId="11" fillId="0" borderId="0" xfId="0" applyFont="1" applyAlignment="1">
      <alignment vertical="center" wrapText="1"/>
    </xf>
    <xf numFmtId="0" fontId="11" fillId="0" borderId="0" xfId="0" applyFont="1">
      <alignment vertical="center"/>
    </xf>
    <xf numFmtId="0" fontId="9" fillId="11" borderId="1" xfId="0" applyFont="1" applyFill="1" applyBorder="1" applyAlignment="1">
      <alignment horizontal="center" vertical="center"/>
    </xf>
    <xf numFmtId="0" fontId="9" fillId="11" borderId="5" xfId="0" applyFont="1" applyFill="1" applyBorder="1" applyAlignment="1">
      <alignment horizontal="center" vertical="center" wrapText="1"/>
    </xf>
    <xf numFmtId="0" fontId="6" fillId="0" borderId="0" xfId="0" applyFont="1" applyProtection="1">
      <alignment vertical="center"/>
    </xf>
    <xf numFmtId="0" fontId="6" fillId="8" borderId="5" xfId="0" applyFont="1" applyFill="1" applyBorder="1">
      <alignment vertical="center"/>
    </xf>
    <xf numFmtId="2" fontId="6" fillId="8" borderId="5" xfId="0" applyNumberFormat="1" applyFont="1" applyFill="1" applyBorder="1">
      <alignment vertical="center"/>
    </xf>
    <xf numFmtId="167" fontId="6" fillId="8" borderId="5" xfId="0" applyNumberFormat="1" applyFont="1" applyFill="1" applyBorder="1">
      <alignment vertical="center"/>
    </xf>
    <xf numFmtId="0" fontId="14" fillId="0" borderId="0" xfId="0" applyFont="1">
      <alignment vertical="center"/>
    </xf>
    <xf numFmtId="0" fontId="6" fillId="0" borderId="0" xfId="0" applyFont="1" applyBorder="1" applyAlignment="1">
      <alignment horizontal="center" vertical="center"/>
    </xf>
    <xf numFmtId="1" fontId="6" fillId="0" borderId="5" xfId="0" applyNumberFormat="1" applyFont="1" applyFill="1" applyBorder="1">
      <alignment vertical="center"/>
    </xf>
    <xf numFmtId="2" fontId="6" fillId="0" borderId="5" xfId="0" applyNumberFormat="1" applyFont="1" applyFill="1" applyBorder="1">
      <alignment vertical="center"/>
    </xf>
    <xf numFmtId="167" fontId="6" fillId="0" borderId="5" xfId="0" applyNumberFormat="1" applyFont="1" applyFill="1" applyBorder="1">
      <alignment vertical="center"/>
    </xf>
    <xf numFmtId="0" fontId="6" fillId="0" borderId="5" xfId="0" applyFont="1" applyFill="1" applyBorder="1">
      <alignment vertical="center"/>
    </xf>
    <xf numFmtId="0" fontId="14" fillId="0" borderId="5" xfId="0" applyFont="1" applyBorder="1">
      <alignment vertical="center"/>
    </xf>
    <xf numFmtId="0" fontId="6" fillId="8" borderId="8" xfId="0" applyFont="1" applyFill="1" applyBorder="1">
      <alignment vertical="center"/>
    </xf>
    <xf numFmtId="167" fontId="6" fillId="8" borderId="8" xfId="0" applyNumberFormat="1" applyFont="1" applyFill="1" applyBorder="1">
      <alignment vertical="center"/>
    </xf>
    <xf numFmtId="0" fontId="6" fillId="0" borderId="12"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8" borderId="0" xfId="0" applyFont="1" applyFill="1" applyBorder="1">
      <alignment vertical="center"/>
    </xf>
    <xf numFmtId="0" fontId="6" fillId="8" borderId="15" xfId="0" applyFont="1" applyFill="1" applyBorder="1">
      <alignment vertical="center"/>
    </xf>
    <xf numFmtId="0" fontId="13" fillId="0" borderId="15" xfId="0" applyFont="1" applyBorder="1">
      <alignment vertical="center"/>
    </xf>
    <xf numFmtId="0" fontId="15" fillId="3" borderId="0" xfId="0" applyFont="1" applyFill="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16" fillId="3" borderId="0" xfId="0" applyFont="1" applyFill="1" applyBorder="1">
      <alignment vertical="center"/>
    </xf>
    <xf numFmtId="0" fontId="17" fillId="3" borderId="0" xfId="0" applyFont="1" applyFill="1" applyBorder="1" applyAlignment="1">
      <alignment horizontal="center" vertical="center"/>
    </xf>
    <xf numFmtId="0" fontId="17" fillId="3" borderId="0" xfId="0" applyFont="1" applyFill="1" applyBorder="1">
      <alignment vertical="center"/>
    </xf>
    <xf numFmtId="0" fontId="6" fillId="0" borderId="15" xfId="0" applyFont="1" applyFill="1" applyBorder="1">
      <alignment vertical="center"/>
    </xf>
    <xf numFmtId="0" fontId="21" fillId="16" borderId="0" xfId="0" applyFont="1" applyFill="1" applyBorder="1">
      <alignment vertical="center"/>
    </xf>
    <xf numFmtId="167" fontId="21" fillId="16" borderId="0" xfId="0" applyNumberFormat="1" applyFont="1" applyFill="1" applyBorder="1">
      <alignment vertical="center"/>
    </xf>
    <xf numFmtId="0" fontId="18" fillId="0" borderId="0" xfId="0" applyFont="1" applyFill="1" applyBorder="1">
      <alignment vertical="center"/>
    </xf>
    <xf numFmtId="167" fontId="18" fillId="0" borderId="0" xfId="0" applyNumberFormat="1" applyFont="1" applyFill="1" applyBorder="1">
      <alignment vertical="center"/>
    </xf>
    <xf numFmtId="9" fontId="6" fillId="0" borderId="0" xfId="1" applyFont="1" applyFill="1">
      <alignment vertical="center"/>
    </xf>
    <xf numFmtId="0" fontId="14" fillId="16" borderId="19" xfId="0" applyFont="1" applyFill="1" applyBorder="1">
      <alignment vertical="center"/>
    </xf>
    <xf numFmtId="9" fontId="14" fillId="16" borderId="20" xfId="1" applyFont="1" applyFill="1" applyBorder="1">
      <alignment vertical="center"/>
    </xf>
    <xf numFmtId="9" fontId="14" fillId="16" borderId="21" xfId="1" applyFont="1" applyFill="1" applyBorder="1">
      <alignment vertical="center"/>
    </xf>
    <xf numFmtId="0" fontId="6" fillId="3" borderId="22" xfId="0" applyFont="1" applyFill="1" applyBorder="1">
      <alignment vertical="center"/>
    </xf>
    <xf numFmtId="0" fontId="7" fillId="3" borderId="22" xfId="0" applyFont="1" applyFill="1" applyBorder="1" applyAlignment="1">
      <alignment horizontal="center" vertical="center"/>
    </xf>
    <xf numFmtId="0" fontId="7" fillId="3" borderId="22" xfId="0" applyFont="1" applyFill="1" applyBorder="1" applyAlignment="1">
      <alignment horizontal="center" vertical="center" wrapText="1"/>
    </xf>
    <xf numFmtId="0" fontId="7" fillId="6" borderId="22" xfId="0" applyFont="1" applyFill="1" applyBorder="1" applyAlignment="1">
      <alignment horizontal="center" vertical="center" wrapText="1"/>
    </xf>
    <xf numFmtId="164" fontId="7" fillId="6" borderId="22" xfId="0" applyNumberFormat="1" applyFont="1" applyFill="1" applyBorder="1" applyAlignment="1">
      <alignment horizontal="center" vertical="center" wrapText="1"/>
    </xf>
    <xf numFmtId="0" fontId="7" fillId="2" borderId="22" xfId="0" applyFont="1" applyFill="1" applyBorder="1" applyAlignment="1">
      <alignment horizontal="center" vertical="center" wrapText="1"/>
    </xf>
    <xf numFmtId="164" fontId="7" fillId="2" borderId="22" xfId="0" applyNumberFormat="1" applyFont="1" applyFill="1" applyBorder="1" applyAlignment="1">
      <alignment horizontal="center" vertical="center" wrapText="1"/>
    </xf>
    <xf numFmtId="165" fontId="7" fillId="2" borderId="22" xfId="0" applyNumberFormat="1"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11" borderId="22" xfId="0" applyFont="1" applyFill="1" applyBorder="1" applyAlignment="1">
      <alignment horizontal="center" vertical="center" wrapText="1"/>
    </xf>
    <xf numFmtId="0" fontId="14" fillId="16" borderId="15" xfId="0" applyFont="1" applyFill="1" applyBorder="1">
      <alignment vertical="center"/>
    </xf>
    <xf numFmtId="1" fontId="20" fillId="15" borderId="0" xfId="0" applyNumberFormat="1" applyFont="1" applyFill="1" applyBorder="1">
      <alignment vertical="center"/>
    </xf>
    <xf numFmtId="0" fontId="20" fillId="15" borderId="16" xfId="0" applyFont="1" applyFill="1" applyBorder="1">
      <alignment vertical="center"/>
    </xf>
    <xf numFmtId="0" fontId="6" fillId="8" borderId="24" xfId="0" applyFont="1" applyFill="1" applyBorder="1">
      <alignment vertical="center"/>
    </xf>
    <xf numFmtId="2" fontId="6" fillId="8" borderId="24" xfId="0" applyNumberFormat="1" applyFont="1" applyFill="1" applyBorder="1">
      <alignment vertical="center"/>
    </xf>
    <xf numFmtId="0" fontId="6" fillId="8" borderId="25" xfId="0" applyFont="1" applyFill="1" applyBorder="1">
      <alignment vertical="center"/>
    </xf>
    <xf numFmtId="0" fontId="6" fillId="8" borderId="27" xfId="0" applyFont="1" applyFill="1" applyBorder="1">
      <alignment vertical="center"/>
    </xf>
    <xf numFmtId="1" fontId="6" fillId="0" borderId="27" xfId="0" applyNumberFormat="1" applyFont="1" applyFill="1" applyBorder="1">
      <alignment vertical="center"/>
    </xf>
    <xf numFmtId="0" fontId="6" fillId="0" borderId="27" xfId="0" applyFont="1" applyFill="1" applyBorder="1">
      <alignment vertical="center"/>
    </xf>
    <xf numFmtId="0" fontId="6" fillId="10" borderId="0" xfId="0" applyFont="1" applyFill="1" applyBorder="1">
      <alignment vertical="center"/>
    </xf>
    <xf numFmtId="2" fontId="6" fillId="10" borderId="0" xfId="0" applyNumberFormat="1" applyFont="1" applyFill="1" applyBorder="1">
      <alignment vertical="center"/>
    </xf>
    <xf numFmtId="0" fontId="6" fillId="10" borderId="16" xfId="0" applyFont="1" applyFill="1" applyBorder="1">
      <alignment vertical="center"/>
    </xf>
    <xf numFmtId="0" fontId="6" fillId="10" borderId="20" xfId="0" applyFont="1" applyFill="1" applyBorder="1">
      <alignment vertical="center"/>
    </xf>
    <xf numFmtId="1" fontId="6" fillId="0" borderId="20" xfId="0" applyNumberFormat="1" applyFont="1" applyBorder="1">
      <alignment vertical="center"/>
    </xf>
    <xf numFmtId="1" fontId="6" fillId="0" borderId="21" xfId="0" applyNumberFormat="1" applyFont="1" applyBorder="1">
      <alignment vertical="center"/>
    </xf>
    <xf numFmtId="164"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9" fontId="6" fillId="0" borderId="0" xfId="1" applyFont="1" applyFill="1" applyBorder="1">
      <alignment vertical="center"/>
    </xf>
    <xf numFmtId="9" fontId="6" fillId="0" borderId="5" xfId="1" applyFont="1" applyBorder="1">
      <alignment vertical="center"/>
    </xf>
    <xf numFmtId="169" fontId="6" fillId="0" borderId="0" xfId="0" applyNumberFormat="1" applyFont="1" applyBorder="1">
      <alignment vertical="center"/>
    </xf>
    <xf numFmtId="0" fontId="23" fillId="0" borderId="0" xfId="0" applyFont="1" applyBorder="1">
      <alignment vertical="center"/>
    </xf>
    <xf numFmtId="0" fontId="6" fillId="7" borderId="0" xfId="0" applyFont="1" applyFill="1" applyBorder="1">
      <alignment vertical="center"/>
    </xf>
    <xf numFmtId="2" fontId="6" fillId="7" borderId="0" xfId="0" applyNumberFormat="1" applyFont="1" applyFill="1" applyBorder="1">
      <alignment vertical="center"/>
    </xf>
    <xf numFmtId="16" fontId="6" fillId="0" borderId="13" xfId="0" applyNumberFormat="1" applyFont="1" applyBorder="1">
      <alignment vertical="center"/>
    </xf>
    <xf numFmtId="0" fontId="6" fillId="0" borderId="0" xfId="0" applyFont="1" applyFill="1" applyBorder="1" applyAlignment="1">
      <alignment horizontal="right" vertical="center"/>
    </xf>
    <xf numFmtId="9" fontId="6" fillId="0" borderId="0" xfId="0" applyNumberFormat="1" applyFont="1" applyFill="1" applyBorder="1" applyAlignment="1">
      <alignment horizontal="right" vertical="center"/>
    </xf>
    <xf numFmtId="0" fontId="6" fillId="9" borderId="9" xfId="0" applyFont="1" applyFill="1" applyBorder="1" applyAlignment="1">
      <alignment vertical="center"/>
    </xf>
    <xf numFmtId="0" fontId="6" fillId="9" borderId="10" xfId="0" applyFont="1" applyFill="1" applyBorder="1" applyAlignment="1">
      <alignment vertical="center"/>
    </xf>
    <xf numFmtId="0" fontId="6" fillId="9" borderId="8" xfId="0" applyFont="1" applyFill="1" applyBorder="1">
      <alignment vertical="center"/>
    </xf>
    <xf numFmtId="0" fontId="6" fillId="18" borderId="9" xfId="0" applyFont="1" applyFill="1" applyBorder="1" applyAlignment="1">
      <alignment vertical="center"/>
    </xf>
    <xf numFmtId="0" fontId="6" fillId="18" borderId="10" xfId="0" applyFont="1" applyFill="1" applyBorder="1" applyAlignment="1">
      <alignment vertical="center"/>
    </xf>
    <xf numFmtId="0" fontId="6" fillId="18" borderId="8" xfId="0" applyFont="1" applyFill="1" applyBorder="1">
      <alignment vertical="center"/>
    </xf>
    <xf numFmtId="0" fontId="25" fillId="0" borderId="0" xfId="0" applyFont="1" applyFill="1" applyBorder="1">
      <alignment vertical="center"/>
    </xf>
    <xf numFmtId="0" fontId="6" fillId="0" borderId="16" xfId="0" applyFont="1" applyFill="1" applyBorder="1">
      <alignment vertical="center"/>
    </xf>
    <xf numFmtId="0" fontId="25" fillId="0" borderId="0" xfId="0" applyFont="1" applyFill="1" applyBorder="1" applyAlignment="1">
      <alignment vertical="center"/>
    </xf>
    <xf numFmtId="0" fontId="25" fillId="0" borderId="16" xfId="0" applyFont="1" applyFill="1" applyBorder="1" applyAlignment="1">
      <alignment vertical="center"/>
    </xf>
    <xf numFmtId="9" fontId="22" fillId="0" borderId="0" xfId="0" applyNumberFormat="1" applyFont="1" applyFill="1" applyBorder="1" applyAlignment="1">
      <alignment horizontal="center" vertical="center"/>
    </xf>
    <xf numFmtId="0" fontId="22" fillId="3" borderId="0" xfId="0" applyFont="1" applyFill="1" applyBorder="1" applyAlignment="1">
      <alignment horizontal="center" vertical="center"/>
    </xf>
    <xf numFmtId="0" fontId="27" fillId="0" borderId="0" xfId="0" applyFont="1" applyBorder="1">
      <alignment vertical="center"/>
    </xf>
    <xf numFmtId="9" fontId="22" fillId="0" borderId="15" xfId="0" applyNumberFormat="1" applyFont="1" applyFill="1" applyBorder="1" applyAlignment="1">
      <alignment horizontal="center" vertical="center"/>
    </xf>
    <xf numFmtId="0" fontId="23" fillId="0" borderId="20" xfId="0" applyFont="1" applyBorder="1">
      <alignment vertical="center"/>
    </xf>
    <xf numFmtId="9" fontId="6" fillId="0" borderId="15" xfId="0" applyNumberFormat="1" applyFont="1" applyFill="1" applyBorder="1" applyAlignment="1">
      <alignment vertical="center"/>
    </xf>
    <xf numFmtId="9" fontId="6" fillId="0" borderId="0" xfId="0" applyNumberFormat="1" applyFont="1" applyFill="1" applyBorder="1" applyAlignment="1">
      <alignment vertical="center"/>
    </xf>
    <xf numFmtId="0" fontId="28" fillId="12" borderId="0" xfId="0" applyFont="1" applyFill="1">
      <alignment vertical="center"/>
    </xf>
    <xf numFmtId="0" fontId="29" fillId="12" borderId="0" xfId="0" applyFont="1" applyFill="1">
      <alignment vertical="center"/>
    </xf>
    <xf numFmtId="0" fontId="6" fillId="12" borderId="0" xfId="0" applyFont="1" applyFill="1">
      <alignment vertical="center"/>
    </xf>
    <xf numFmtId="0" fontId="6" fillId="3" borderId="5" xfId="0" applyFont="1" applyFill="1" applyBorder="1">
      <alignment vertical="center"/>
    </xf>
    <xf numFmtId="0" fontId="6" fillId="11" borderId="5" xfId="0" applyFont="1" applyFill="1" applyBorder="1">
      <alignment vertical="center"/>
    </xf>
    <xf numFmtId="2" fontId="6" fillId="11" borderId="5" xfId="0" applyNumberFormat="1" applyFont="1" applyFill="1" applyBorder="1">
      <alignment vertical="center"/>
    </xf>
    <xf numFmtId="0" fontId="6" fillId="11" borderId="0" xfId="0" applyFont="1" applyFill="1">
      <alignment vertical="center"/>
    </xf>
    <xf numFmtId="0" fontId="6" fillId="18" borderId="5" xfId="0" applyFont="1" applyFill="1" applyBorder="1">
      <alignment vertical="center"/>
    </xf>
    <xf numFmtId="0" fontId="10" fillId="18" borderId="5" xfId="0" applyNumberFormat="1" applyFont="1" applyFill="1" applyBorder="1" applyAlignment="1">
      <alignment vertical="top" wrapText="1"/>
    </xf>
    <xf numFmtId="167" fontId="6" fillId="18" borderId="5" xfId="0" applyNumberFormat="1" applyFont="1" applyFill="1" applyBorder="1">
      <alignment vertical="center"/>
    </xf>
    <xf numFmtId="2" fontId="6" fillId="18" borderId="5" xfId="0" applyNumberFormat="1" applyFont="1" applyFill="1" applyBorder="1">
      <alignment vertical="center"/>
    </xf>
    <xf numFmtId="0" fontId="6" fillId="18" borderId="0" xfId="0" applyFont="1" applyFill="1">
      <alignment vertical="center"/>
    </xf>
    <xf numFmtId="0" fontId="6" fillId="0" borderId="0" xfId="0" applyFont="1" applyFill="1">
      <alignment vertical="center"/>
    </xf>
    <xf numFmtId="0" fontId="14" fillId="20" borderId="5" xfId="0" applyFont="1" applyFill="1" applyBorder="1">
      <alignment vertical="center"/>
    </xf>
    <xf numFmtId="0" fontId="6" fillId="0" borderId="5" xfId="0" applyNumberFormat="1" applyFont="1" applyFill="1" applyBorder="1">
      <alignment vertical="center"/>
    </xf>
    <xf numFmtId="166" fontId="10" fillId="0" borderId="5" xfId="0" applyNumberFormat="1" applyFont="1" applyFill="1" applyBorder="1" applyAlignment="1">
      <alignment horizontal="right" vertical="top"/>
    </xf>
    <xf numFmtId="0" fontId="11" fillId="0" borderId="5" xfId="0" applyFont="1" applyBorder="1" applyAlignment="1">
      <alignment vertical="center" wrapText="1"/>
    </xf>
    <xf numFmtId="0" fontId="11" fillId="0" borderId="5" xfId="0" applyFont="1" applyBorder="1">
      <alignment vertical="center"/>
    </xf>
    <xf numFmtId="0" fontId="6" fillId="18" borderId="5" xfId="0" applyNumberFormat="1" applyFont="1" applyFill="1" applyBorder="1">
      <alignment vertical="center"/>
    </xf>
    <xf numFmtId="0" fontId="11" fillId="3" borderId="0" xfId="0" applyFont="1" applyFill="1">
      <alignment vertical="center"/>
    </xf>
    <xf numFmtId="0" fontId="24" fillId="16" borderId="0" xfId="0" applyFont="1" applyFill="1">
      <alignment vertical="center"/>
    </xf>
    <xf numFmtId="0" fontId="24" fillId="23" borderId="0" xfId="0" applyFont="1" applyFill="1">
      <alignment vertical="center"/>
    </xf>
    <xf numFmtId="0" fontId="24" fillId="21" borderId="0" xfId="0" applyFont="1" applyFill="1">
      <alignment vertical="center"/>
    </xf>
    <xf numFmtId="0" fontId="35" fillId="0" borderId="5" xfId="0" applyNumberFormat="1" applyFont="1" applyFill="1" applyBorder="1" applyAlignment="1">
      <alignment vertical="top" wrapText="1"/>
    </xf>
    <xf numFmtId="0" fontId="11" fillId="0" borderId="5" xfId="0" applyNumberFormat="1" applyFont="1" applyFill="1" applyBorder="1">
      <alignment vertical="center"/>
    </xf>
    <xf numFmtId="0" fontId="36" fillId="9" borderId="0" xfId="0" applyFont="1" applyFill="1">
      <alignment vertical="center"/>
    </xf>
    <xf numFmtId="0" fontId="37" fillId="9" borderId="0" xfId="0" applyFont="1" applyFill="1">
      <alignment vertical="center"/>
    </xf>
    <xf numFmtId="0" fontId="11" fillId="9" borderId="0" xfId="0" applyFont="1" applyFill="1">
      <alignment vertical="center"/>
    </xf>
    <xf numFmtId="0" fontId="11" fillId="0" borderId="12" xfId="0" applyFont="1" applyBorder="1">
      <alignment vertical="center"/>
    </xf>
    <xf numFmtId="16" fontId="11" fillId="0" borderId="13" xfId="0" applyNumberFormat="1" applyFont="1" applyBorder="1">
      <alignment vertical="center"/>
    </xf>
    <xf numFmtId="0" fontId="11" fillId="0" borderId="13" xfId="0" applyFont="1" applyBorder="1">
      <alignment vertical="center"/>
    </xf>
    <xf numFmtId="0" fontId="11" fillId="0" borderId="11"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0" xfId="0" applyFont="1" applyBorder="1">
      <alignment vertical="center"/>
    </xf>
    <xf numFmtId="0" fontId="30" fillId="0" borderId="0"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0" xfId="0" applyFont="1" applyBorder="1" applyAlignment="1">
      <alignment horizontal="center" vertical="center"/>
    </xf>
    <xf numFmtId="0" fontId="11" fillId="8" borderId="0" xfId="0" applyFont="1" applyFill="1" applyBorder="1">
      <alignment vertical="center"/>
    </xf>
    <xf numFmtId="0" fontId="11" fillId="8" borderId="8" xfId="0" applyFont="1" applyFill="1" applyBorder="1">
      <alignment vertical="center"/>
    </xf>
    <xf numFmtId="0" fontId="11" fillId="8" borderId="15" xfId="0" applyFont="1" applyFill="1" applyBorder="1">
      <alignment vertical="center"/>
    </xf>
    <xf numFmtId="0" fontId="11" fillId="0" borderId="0" xfId="0" applyFont="1" applyFill="1" applyBorder="1">
      <alignment vertical="center"/>
    </xf>
    <xf numFmtId="0" fontId="39" fillId="0" borderId="15" xfId="0" applyFont="1" applyBorder="1">
      <alignment vertical="center"/>
    </xf>
    <xf numFmtId="167" fontId="11" fillId="8" borderId="8" xfId="0" applyNumberFormat="1" applyFont="1" applyFill="1" applyBorder="1">
      <alignment vertical="center"/>
    </xf>
    <xf numFmtId="169" fontId="11" fillId="0" borderId="0" xfId="0" applyNumberFormat="1" applyFont="1" applyBorder="1">
      <alignment vertical="center"/>
    </xf>
    <xf numFmtId="0" fontId="11" fillId="7" borderId="18" xfId="0" applyFont="1" applyFill="1" applyBorder="1">
      <alignment vertical="center"/>
    </xf>
    <xf numFmtId="0" fontId="11" fillId="7" borderId="11" xfId="0" applyFont="1" applyFill="1" applyBorder="1">
      <alignment vertical="center"/>
    </xf>
    <xf numFmtId="0" fontId="11" fillId="7" borderId="9" xfId="0" applyFont="1" applyFill="1" applyBorder="1">
      <alignment vertical="center"/>
    </xf>
    <xf numFmtId="0" fontId="11" fillId="7" borderId="28" xfId="0" applyFont="1" applyFill="1" applyBorder="1">
      <alignment vertical="center"/>
    </xf>
    <xf numFmtId="0" fontId="11" fillId="7" borderId="10" xfId="0" applyFont="1" applyFill="1" applyBorder="1">
      <alignment vertical="center"/>
    </xf>
    <xf numFmtId="0" fontId="11" fillId="7" borderId="19" xfId="0" applyFont="1" applyFill="1" applyBorder="1">
      <alignment vertical="center"/>
    </xf>
    <xf numFmtId="0" fontId="11" fillId="7" borderId="20" xfId="0" applyFont="1" applyFill="1" applyBorder="1">
      <alignment vertical="center"/>
    </xf>
    <xf numFmtId="0" fontId="11" fillId="0" borderId="15" xfId="0" applyFont="1" applyFill="1" applyBorder="1">
      <alignment vertical="center"/>
    </xf>
    <xf numFmtId="0" fontId="11" fillId="9" borderId="9" xfId="0" applyFont="1" applyFill="1" applyBorder="1" applyAlignment="1">
      <alignment vertical="center"/>
    </xf>
    <xf numFmtId="0" fontId="11" fillId="9" borderId="10" xfId="0" applyFont="1" applyFill="1" applyBorder="1" applyAlignment="1">
      <alignment vertical="center"/>
    </xf>
    <xf numFmtId="0" fontId="11" fillId="9" borderId="8" xfId="0" applyFont="1" applyFill="1" applyBorder="1">
      <alignment vertical="center"/>
    </xf>
    <xf numFmtId="0" fontId="11" fillId="0" borderId="15" xfId="0" applyFont="1" applyFill="1" applyBorder="1" applyAlignment="1">
      <alignment horizontal="center" vertical="center"/>
    </xf>
    <xf numFmtId="0" fontId="11" fillId="0" borderId="0" xfId="0" applyFont="1" applyFill="1" applyBorder="1" applyAlignment="1">
      <alignment horizontal="center" vertical="center"/>
    </xf>
    <xf numFmtId="0" fontId="11" fillId="18" borderId="9" xfId="0" applyFont="1" applyFill="1" applyBorder="1" applyAlignment="1">
      <alignment vertical="center"/>
    </xf>
    <xf numFmtId="0" fontId="11" fillId="18" borderId="10" xfId="0" applyFont="1" applyFill="1" applyBorder="1" applyAlignment="1">
      <alignment vertical="center"/>
    </xf>
    <xf numFmtId="0" fontId="11" fillId="18" borderId="8" xfId="0" applyFont="1" applyFill="1" applyBorder="1">
      <alignment vertical="center"/>
    </xf>
    <xf numFmtId="0" fontId="38" fillId="0" borderId="0" xfId="0" applyNumberFormat="1" applyFont="1" applyFill="1" applyBorder="1" applyAlignment="1">
      <alignment horizontal="left" vertical="top" wrapText="1"/>
    </xf>
    <xf numFmtId="0" fontId="38" fillId="0" borderId="16" xfId="0" applyNumberFormat="1" applyFont="1" applyFill="1" applyBorder="1" applyAlignment="1">
      <alignment horizontal="left" vertical="top" wrapText="1"/>
    </xf>
    <xf numFmtId="0" fontId="43" fillId="3" borderId="15" xfId="0" applyFont="1" applyFill="1" applyBorder="1" applyAlignment="1">
      <alignment horizontal="center" vertical="center"/>
    </xf>
    <xf numFmtId="0" fontId="44" fillId="3" borderId="0" xfId="0" applyFont="1" applyFill="1" applyBorder="1" applyAlignment="1">
      <alignment horizontal="center" vertical="center"/>
    </xf>
    <xf numFmtId="0" fontId="45" fillId="3" borderId="0" xfId="0" applyFont="1" applyFill="1" applyBorder="1">
      <alignment vertical="center"/>
    </xf>
    <xf numFmtId="0" fontId="46" fillId="3" borderId="0" xfId="0" applyFont="1" applyFill="1" applyBorder="1">
      <alignment vertical="center"/>
    </xf>
    <xf numFmtId="0" fontId="44" fillId="3" borderId="0" xfId="0" applyFont="1" applyFill="1" applyBorder="1">
      <alignment vertical="center"/>
    </xf>
    <xf numFmtId="0" fontId="47" fillId="10" borderId="0" xfId="0" applyFont="1" applyFill="1" applyBorder="1">
      <alignment vertical="center"/>
    </xf>
    <xf numFmtId="0" fontId="48" fillId="10" borderId="0" xfId="0" applyFont="1" applyFill="1" applyBorder="1">
      <alignment vertical="center"/>
    </xf>
    <xf numFmtId="0" fontId="49" fillId="21" borderId="0" xfId="0" applyFont="1" applyFill="1" applyBorder="1">
      <alignment vertical="center"/>
    </xf>
    <xf numFmtId="0" fontId="48" fillId="21" borderId="0" xfId="0" applyFont="1" applyFill="1" applyBorder="1">
      <alignment vertical="center"/>
    </xf>
    <xf numFmtId="170" fontId="48" fillId="21" borderId="0" xfId="2" applyNumberFormat="1" applyFont="1" applyFill="1" applyBorder="1">
      <alignment vertical="center"/>
    </xf>
    <xf numFmtId="0" fontId="49" fillId="22" borderId="0" xfId="0" applyFont="1" applyFill="1" applyBorder="1">
      <alignment vertical="center"/>
    </xf>
    <xf numFmtId="0" fontId="48" fillId="22" borderId="0" xfId="0" applyFont="1" applyFill="1" applyBorder="1">
      <alignment vertical="center"/>
    </xf>
    <xf numFmtId="167" fontId="48" fillId="22" borderId="0" xfId="0" applyNumberFormat="1" applyFont="1" applyFill="1" applyBorder="1">
      <alignment vertical="center"/>
    </xf>
    <xf numFmtId="9" fontId="43" fillId="3" borderId="26" xfId="0" applyNumberFormat="1" applyFont="1" applyFill="1" applyBorder="1" applyAlignment="1">
      <alignment horizontal="center" vertical="center"/>
    </xf>
    <xf numFmtId="9" fontId="43" fillId="3" borderId="5" xfId="0" applyNumberFormat="1" applyFont="1" applyFill="1" applyBorder="1" applyAlignment="1">
      <alignment horizontal="center" vertical="center"/>
    </xf>
    <xf numFmtId="9" fontId="43" fillId="0" borderId="0" xfId="0" applyNumberFormat="1" applyFont="1" applyFill="1" applyBorder="1" applyAlignment="1">
      <alignment horizontal="center" vertical="center"/>
    </xf>
    <xf numFmtId="0" fontId="50" fillId="16" borderId="0" xfId="0" applyFont="1" applyFill="1" applyBorder="1">
      <alignment vertical="center"/>
    </xf>
    <xf numFmtId="0" fontId="51" fillId="16" borderId="0" xfId="0" applyFont="1" applyFill="1" applyBorder="1">
      <alignment vertical="center"/>
    </xf>
    <xf numFmtId="167" fontId="51" fillId="16" borderId="0" xfId="0" applyNumberFormat="1" applyFont="1" applyFill="1" applyBorder="1">
      <alignment vertical="center"/>
    </xf>
    <xf numFmtId="0" fontId="47" fillId="19" borderId="0" xfId="0" applyFont="1" applyFill="1" applyBorder="1">
      <alignment vertical="center"/>
    </xf>
    <xf numFmtId="167" fontId="48" fillId="21" borderId="0" xfId="0" applyNumberFormat="1" applyFont="1" applyFill="1" applyBorder="1">
      <alignment vertical="center"/>
    </xf>
    <xf numFmtId="9" fontId="34" fillId="0" borderId="29" xfId="0" applyNumberFormat="1" applyFont="1" applyBorder="1" applyAlignment="1">
      <alignment horizontal="center" vertical="center"/>
    </xf>
    <xf numFmtId="9" fontId="34" fillId="0" borderId="22" xfId="0" applyNumberFormat="1" applyFont="1" applyBorder="1" applyAlignment="1">
      <alignment horizontal="center" vertical="center"/>
    </xf>
    <xf numFmtId="9" fontId="34" fillId="0" borderId="0" xfId="0" applyNumberFormat="1" applyFont="1" applyBorder="1" applyAlignment="1">
      <alignment horizontal="center" vertical="center"/>
    </xf>
    <xf numFmtId="0" fontId="52" fillId="16" borderId="0" xfId="0" applyFont="1" applyFill="1" applyBorder="1">
      <alignment vertical="center"/>
    </xf>
    <xf numFmtId="0" fontId="53" fillId="16" borderId="0" xfId="0" applyFont="1" applyFill="1" applyBorder="1">
      <alignment vertical="center"/>
    </xf>
    <xf numFmtId="0" fontId="54" fillId="0" borderId="0" xfId="0" applyFont="1" applyBorder="1">
      <alignment vertical="center"/>
    </xf>
    <xf numFmtId="0" fontId="55" fillId="7" borderId="0" xfId="0" applyFont="1" applyFill="1" applyBorder="1">
      <alignment vertical="center"/>
    </xf>
    <xf numFmtId="0" fontId="11" fillId="7" borderId="0" xfId="0" applyFont="1" applyFill="1" applyBorder="1">
      <alignment vertical="center"/>
    </xf>
    <xf numFmtId="167" fontId="56" fillId="7" borderId="0" xfId="0" applyNumberFormat="1" applyFont="1" applyFill="1" applyBorder="1">
      <alignment vertical="center"/>
    </xf>
    <xf numFmtId="0" fontId="57" fillId="0" borderId="0" xfId="0" applyFont="1" applyBorder="1" applyAlignment="1">
      <alignment horizontal="left" vertical="center" readingOrder="1"/>
    </xf>
    <xf numFmtId="0" fontId="11" fillId="0" borderId="0" xfId="0" applyFont="1" applyBorder="1" applyAlignment="1">
      <alignment vertical="top" wrapText="1"/>
    </xf>
    <xf numFmtId="0" fontId="11" fillId="0" borderId="16" xfId="0" applyFont="1" applyBorder="1" applyAlignment="1">
      <alignment vertical="top" wrapText="1"/>
    </xf>
    <xf numFmtId="0" fontId="30" fillId="0" borderId="0" xfId="0" applyFont="1" applyBorder="1" applyAlignment="1">
      <alignment vertical="top" wrapText="1"/>
    </xf>
    <xf numFmtId="0" fontId="11" fillId="0" borderId="0" xfId="0" applyFont="1" applyBorder="1" applyAlignment="1">
      <alignment vertical="top"/>
    </xf>
    <xf numFmtId="0" fontId="59" fillId="0" borderId="0" xfId="0" applyFont="1" applyBorder="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30" fillId="0" borderId="15"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21" xfId="0" applyFont="1" applyBorder="1">
      <alignment vertical="center"/>
    </xf>
    <xf numFmtId="14" fontId="11" fillId="0" borderId="0" xfId="0" applyNumberFormat="1" applyFont="1">
      <alignment vertical="center"/>
    </xf>
    <xf numFmtId="0" fontId="11" fillId="0" borderId="0" xfId="0" applyFont="1" applyProtection="1">
      <alignment vertical="center"/>
    </xf>
    <xf numFmtId="0" fontId="11" fillId="0" borderId="0" xfId="0" applyFont="1" applyFill="1">
      <alignment vertical="center"/>
    </xf>
    <xf numFmtId="0" fontId="11" fillId="0" borderId="0" xfId="0" applyFont="1" applyBorder="1" applyAlignment="1">
      <alignment horizontal="right" vertical="center"/>
    </xf>
    <xf numFmtId="0" fontId="32" fillId="0" borderId="0" xfId="0" applyFont="1" applyAlignment="1">
      <alignment horizontal="center" vertical="center"/>
    </xf>
    <xf numFmtId="0" fontId="60" fillId="0" borderId="0" xfId="0" applyFont="1">
      <alignment vertical="center"/>
    </xf>
    <xf numFmtId="0" fontId="11" fillId="0" borderId="18" xfId="0" applyFont="1" applyBorder="1">
      <alignment vertical="center"/>
    </xf>
    <xf numFmtId="0" fontId="55" fillId="9" borderId="11" xfId="0" applyFont="1" applyFill="1" applyBorder="1">
      <alignment vertical="center"/>
    </xf>
    <xf numFmtId="0" fontId="55" fillId="9" borderId="14" xfId="0" applyFont="1" applyFill="1" applyBorder="1">
      <alignment vertical="center"/>
    </xf>
    <xf numFmtId="0" fontId="55" fillId="9" borderId="19" xfId="0" applyFont="1" applyFill="1" applyBorder="1" applyAlignment="1">
      <alignment horizontal="left" vertical="center"/>
    </xf>
    <xf numFmtId="0" fontId="55" fillId="9" borderId="20" xfId="0" applyFont="1" applyFill="1" applyBorder="1" applyAlignment="1">
      <alignment horizontal="left" vertical="center"/>
    </xf>
    <xf numFmtId="0" fontId="55" fillId="9" borderId="20" xfId="0" applyFont="1" applyFill="1" applyBorder="1">
      <alignment vertical="center"/>
    </xf>
    <xf numFmtId="0" fontId="55" fillId="9" borderId="21" xfId="0" applyFont="1" applyFill="1" applyBorder="1">
      <alignment vertical="center"/>
    </xf>
    <xf numFmtId="0" fontId="55" fillId="0" borderId="15" xfId="0" applyFont="1" applyBorder="1" applyAlignment="1">
      <alignment horizontal="left" vertical="center"/>
    </xf>
    <xf numFmtId="0" fontId="55" fillId="0" borderId="0" xfId="0" applyFont="1" applyBorder="1" applyAlignment="1">
      <alignment horizontal="left" vertical="center"/>
    </xf>
    <xf numFmtId="0" fontId="55" fillId="0" borderId="0" xfId="0" applyFont="1" applyBorder="1">
      <alignment vertical="center"/>
    </xf>
    <xf numFmtId="0" fontId="55" fillId="0" borderId="16" xfId="0" applyFont="1" applyBorder="1">
      <alignment vertical="center"/>
    </xf>
    <xf numFmtId="0" fontId="55" fillId="9" borderId="18" xfId="0" applyFont="1" applyFill="1" applyBorder="1" applyAlignment="1">
      <alignment horizontal="left" vertical="center"/>
    </xf>
    <xf numFmtId="0" fontId="55" fillId="9" borderId="11" xfId="0" applyFont="1" applyFill="1" applyBorder="1" applyAlignment="1">
      <alignment horizontal="left" vertical="center"/>
    </xf>
    <xf numFmtId="0" fontId="55" fillId="0" borderId="19" xfId="0" applyFont="1" applyBorder="1">
      <alignment vertical="center"/>
    </xf>
    <xf numFmtId="0" fontId="55" fillId="0" borderId="20" xfId="0" applyFont="1" applyBorder="1">
      <alignment vertical="center"/>
    </xf>
    <xf numFmtId="0" fontId="55" fillId="0" borderId="21" xfId="0" applyFont="1" applyBorder="1">
      <alignment vertical="center"/>
    </xf>
    <xf numFmtId="0" fontId="55" fillId="9" borderId="18" xfId="0" applyFont="1" applyFill="1" applyBorder="1">
      <alignment vertical="center"/>
    </xf>
    <xf numFmtId="0" fontId="55" fillId="9" borderId="19" xfId="0" applyFont="1" applyFill="1" applyBorder="1">
      <alignment vertical="center"/>
    </xf>
    <xf numFmtId="0" fontId="55" fillId="0" borderId="15" xfId="0" applyFont="1" applyBorder="1">
      <alignment vertical="center"/>
    </xf>
    <xf numFmtId="1" fontId="55" fillId="0" borderId="15" xfId="0" applyNumberFormat="1" applyFont="1" applyBorder="1">
      <alignment vertical="center"/>
    </xf>
    <xf numFmtId="38" fontId="62" fillId="9" borderId="18" xfId="2" applyFont="1" applyFill="1" applyBorder="1">
      <alignment vertical="center"/>
    </xf>
    <xf numFmtId="0" fontId="62" fillId="9" borderId="14" xfId="0" applyFont="1" applyFill="1" applyBorder="1">
      <alignment vertical="center"/>
    </xf>
    <xf numFmtId="0" fontId="62" fillId="9" borderId="19" xfId="0" applyFont="1" applyFill="1" applyBorder="1">
      <alignment vertical="center"/>
    </xf>
    <xf numFmtId="0" fontId="62" fillId="9" borderId="21" xfId="0" applyFont="1" applyFill="1" applyBorder="1">
      <alignment vertical="center"/>
    </xf>
    <xf numFmtId="38" fontId="62" fillId="0" borderId="15" xfId="2" applyFont="1" applyBorder="1">
      <alignment vertical="center"/>
    </xf>
    <xf numFmtId="0" fontId="62" fillId="0" borderId="16" xfId="0" applyFont="1" applyBorder="1">
      <alignment vertical="center"/>
    </xf>
    <xf numFmtId="0" fontId="62" fillId="0" borderId="15" xfId="0" applyFont="1" applyBorder="1">
      <alignment vertical="center"/>
    </xf>
    <xf numFmtId="0" fontId="62" fillId="9" borderId="18" xfId="0" applyFont="1" applyFill="1" applyBorder="1">
      <alignment vertical="center"/>
    </xf>
    <xf numFmtId="0" fontId="62" fillId="0" borderId="19" xfId="0" applyFont="1" applyBorder="1">
      <alignment vertical="center"/>
    </xf>
    <xf numFmtId="0" fontId="62" fillId="0" borderId="21" xfId="0" applyFont="1" applyBorder="1">
      <alignment vertical="center"/>
    </xf>
    <xf numFmtId="0" fontId="11" fillId="10" borderId="18" xfId="0" applyFont="1" applyFill="1" applyBorder="1">
      <alignment vertical="center"/>
    </xf>
    <xf numFmtId="0" fontId="11" fillId="10" borderId="14" xfId="0" applyFont="1" applyFill="1" applyBorder="1">
      <alignment vertical="center"/>
    </xf>
    <xf numFmtId="0" fontId="63" fillId="0" borderId="0" xfId="0" applyFont="1" applyBorder="1" applyAlignment="1">
      <alignment horizontal="right" vertical="center"/>
    </xf>
    <xf numFmtId="0" fontId="63" fillId="0" borderId="0" xfId="0" applyFont="1" applyBorder="1">
      <alignment vertical="center"/>
    </xf>
    <xf numFmtId="0" fontId="0" fillId="0" borderId="18" xfId="0" applyBorder="1">
      <alignment vertical="center"/>
    </xf>
    <xf numFmtId="0" fontId="0" fillId="0" borderId="11" xfId="0" applyBorder="1">
      <alignment vertical="center"/>
    </xf>
    <xf numFmtId="0" fontId="0" fillId="0" borderId="14" xfId="0" applyBorder="1">
      <alignment vertical="center"/>
    </xf>
    <xf numFmtId="0" fontId="0" fillId="0" borderId="15" xfId="0" applyBorder="1">
      <alignment vertical="center"/>
    </xf>
    <xf numFmtId="0" fontId="65" fillId="0" borderId="0" xfId="0" applyFont="1" applyBorder="1" applyAlignment="1">
      <alignment horizontal="right" vertical="center"/>
    </xf>
    <xf numFmtId="0" fontId="65" fillId="0" borderId="0" xfId="0" applyFont="1" applyBorder="1">
      <alignment vertical="center"/>
    </xf>
    <xf numFmtId="0" fontId="0" fillId="0" borderId="0" xfId="0" applyBorder="1">
      <alignment vertical="center"/>
    </xf>
    <xf numFmtId="0" fontId="0" fillId="0" borderId="16" xfId="0" applyBorder="1">
      <alignment vertical="center"/>
    </xf>
    <xf numFmtId="0" fontId="65" fillId="0" borderId="0" xfId="0" applyFont="1" applyBorder="1" applyAlignment="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65" fillId="0" borderId="0" xfId="0" applyFont="1" applyFill="1" applyBorder="1" applyAlignment="1">
      <alignment horizontal="right" vertical="center"/>
    </xf>
    <xf numFmtId="0" fontId="65" fillId="0" borderId="15" xfId="0" applyFont="1" applyBorder="1" applyAlignment="1">
      <alignment horizontal="right" vertical="center"/>
    </xf>
    <xf numFmtId="0" fontId="0" fillId="0" borderId="10" xfId="0" applyBorder="1">
      <alignment vertical="center"/>
    </xf>
    <xf numFmtId="0" fontId="0" fillId="0" borderId="28" xfId="0" applyBorder="1">
      <alignment vertical="center"/>
    </xf>
    <xf numFmtId="0" fontId="2" fillId="0" borderId="15" xfId="0" applyFont="1" applyBorder="1" applyAlignment="1">
      <alignment horizontal="lef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5" xfId="0" applyBorder="1">
      <alignment vertical="center"/>
    </xf>
    <xf numFmtId="0" fontId="0" fillId="0" borderId="27"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67" fillId="0" borderId="44" xfId="0" applyFont="1" applyBorder="1" applyAlignment="1">
      <alignment horizontal="left" vertical="center"/>
    </xf>
    <xf numFmtId="0" fontId="67" fillId="0" borderId="45" xfId="0" applyFont="1" applyBorder="1" applyAlignment="1">
      <alignment horizontal="left" vertical="center"/>
    </xf>
    <xf numFmtId="0" fontId="67" fillId="0" borderId="46" xfId="0" applyFont="1" applyBorder="1" applyAlignment="1">
      <alignment horizontal="lef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68" fillId="0" borderId="0" xfId="0" applyFont="1" applyAlignment="1">
      <alignment horizontal="center" vertical="center"/>
    </xf>
    <xf numFmtId="0" fontId="64" fillId="17" borderId="30" xfId="0" applyFont="1" applyFill="1" applyBorder="1">
      <alignment vertical="center"/>
    </xf>
    <xf numFmtId="0" fontId="64" fillId="17" borderId="31" xfId="0" applyFont="1" applyFill="1" applyBorder="1">
      <alignment vertical="center"/>
    </xf>
    <xf numFmtId="0" fontId="0" fillId="17" borderId="32" xfId="0" applyFill="1" applyBorder="1">
      <alignment vertical="center"/>
    </xf>
    <xf numFmtId="0" fontId="0" fillId="17" borderId="31" xfId="0" applyFill="1" applyBorder="1">
      <alignment vertical="center"/>
    </xf>
    <xf numFmtId="0" fontId="64" fillId="17" borderId="8" xfId="0" applyFont="1" applyFill="1" applyBorder="1">
      <alignment vertical="center"/>
    </xf>
    <xf numFmtId="0" fontId="66" fillId="17" borderId="50" xfId="0" applyFont="1" applyFill="1" applyBorder="1" applyAlignment="1">
      <alignment horizontal="right" vertical="center"/>
    </xf>
    <xf numFmtId="0" fontId="66" fillId="17" borderId="51" xfId="0" applyFont="1" applyFill="1" applyBorder="1" applyAlignment="1">
      <alignment horizontal="right" vertical="center"/>
    </xf>
    <xf numFmtId="0" fontId="66" fillId="17" borderId="36" xfId="0" applyFont="1" applyFill="1" applyBorder="1" applyAlignment="1">
      <alignment horizontal="right" vertical="center"/>
    </xf>
    <xf numFmtId="0" fontId="64" fillId="17" borderId="8" xfId="0" applyFont="1" applyFill="1" applyBorder="1" applyAlignment="1">
      <alignment horizontal="left" vertical="center"/>
    </xf>
    <xf numFmtId="0" fontId="64" fillId="17" borderId="30" xfId="0" applyFont="1" applyFill="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64" fillId="17" borderId="32" xfId="0" applyFont="1" applyFill="1" applyBorder="1">
      <alignment vertical="center"/>
    </xf>
    <xf numFmtId="0" fontId="0" fillId="0" borderId="0" xfId="0" applyFill="1" applyBorder="1">
      <alignment vertical="center"/>
    </xf>
    <xf numFmtId="0" fontId="69" fillId="0" borderId="18" xfId="0" applyFont="1" applyBorder="1">
      <alignment vertical="center"/>
    </xf>
    <xf numFmtId="0" fontId="69" fillId="0" borderId="0" xfId="0" applyFont="1" applyBorder="1">
      <alignment vertical="center"/>
    </xf>
    <xf numFmtId="0" fontId="70" fillId="0" borderId="0" xfId="0" applyFont="1" applyBorder="1" applyAlignment="1">
      <alignment horizontal="right" vertical="center"/>
    </xf>
    <xf numFmtId="0" fontId="71" fillId="0" borderId="0" xfId="0" applyFont="1" applyAlignment="1">
      <alignment horizontal="center" vertical="center"/>
    </xf>
    <xf numFmtId="0" fontId="70" fillId="0" borderId="0" xfId="0" applyFont="1" applyBorder="1">
      <alignment vertical="center"/>
    </xf>
    <xf numFmtId="0" fontId="66" fillId="17" borderId="52" xfId="0" applyFont="1" applyFill="1" applyBorder="1" applyAlignment="1">
      <alignment horizontal="right" vertical="center"/>
    </xf>
    <xf numFmtId="0" fontId="0" fillId="0" borderId="53" xfId="0" applyBorder="1">
      <alignment vertical="center"/>
    </xf>
    <xf numFmtId="0" fontId="0" fillId="0" borderId="22" xfId="0" applyBorder="1">
      <alignment vertical="center"/>
    </xf>
    <xf numFmtId="0" fontId="0" fillId="0" borderId="54" xfId="0" applyBorder="1">
      <alignment vertical="center"/>
    </xf>
    <xf numFmtId="0" fontId="66" fillId="17" borderId="55" xfId="0" applyFont="1" applyFill="1" applyBorder="1" applyAlignment="1">
      <alignment horizontal="right" vertical="center"/>
    </xf>
    <xf numFmtId="0" fontId="0" fillId="0" borderId="56" xfId="0" applyBorder="1">
      <alignment vertical="center"/>
    </xf>
    <xf numFmtId="0" fontId="1" fillId="0" borderId="8" xfId="0" applyFont="1" applyBorder="1">
      <alignment vertical="center"/>
    </xf>
    <xf numFmtId="0" fontId="11" fillId="0" borderId="0" xfId="0" applyFont="1" applyBorder="1" applyAlignment="1">
      <alignment horizontal="left" vertical="center"/>
    </xf>
    <xf numFmtId="38" fontId="61" fillId="7" borderId="18" xfId="0" applyNumberFormat="1" applyFont="1" applyFill="1" applyBorder="1" applyAlignment="1">
      <alignment horizontal="center" vertical="center"/>
    </xf>
    <xf numFmtId="0" fontId="61" fillId="7" borderId="11" xfId="0" applyFont="1" applyFill="1" applyBorder="1" applyAlignment="1">
      <alignment horizontal="center" vertical="center"/>
    </xf>
    <xf numFmtId="0" fontId="61" fillId="7" borderId="14" xfId="0" applyFont="1" applyFill="1" applyBorder="1" applyAlignment="1">
      <alignment horizontal="center" vertical="center"/>
    </xf>
    <xf numFmtId="0" fontId="61" fillId="7" borderId="19" xfId="0" applyFont="1" applyFill="1" applyBorder="1" applyAlignment="1">
      <alignment horizontal="center" vertical="center"/>
    </xf>
    <xf numFmtId="0" fontId="61" fillId="7" borderId="20" xfId="0" applyFont="1" applyFill="1" applyBorder="1" applyAlignment="1">
      <alignment horizontal="center" vertical="center"/>
    </xf>
    <xf numFmtId="0" fontId="61" fillId="7" borderId="21" xfId="0" applyFont="1" applyFill="1" applyBorder="1" applyAlignment="1">
      <alignment horizontal="center" vertic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14" xfId="0" applyFont="1" applyBorder="1" applyAlignment="1">
      <alignment horizontal="center" vertical="center"/>
    </xf>
    <xf numFmtId="0" fontId="55" fillId="9" borderId="18" xfId="0" applyFont="1" applyFill="1" applyBorder="1" applyAlignment="1">
      <alignment horizontal="left" vertical="center"/>
    </xf>
    <xf numFmtId="0" fontId="55" fillId="9" borderId="11" xfId="0" applyFont="1" applyFill="1" applyBorder="1" applyAlignment="1">
      <alignment horizontal="left" vertical="center"/>
    </xf>
    <xf numFmtId="0" fontId="59" fillId="0" borderId="0" xfId="0" applyFont="1" applyBorder="1" applyAlignment="1">
      <alignment horizontal="center" vertical="center"/>
    </xf>
    <xf numFmtId="0" fontId="11" fillId="7" borderId="9"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10" xfId="0" applyFont="1" applyFill="1" applyBorder="1" applyAlignment="1">
      <alignment horizontal="center" vertical="center"/>
    </xf>
    <xf numFmtId="0" fontId="34" fillId="3" borderId="18" xfId="0" applyFont="1" applyFill="1" applyBorder="1" applyAlignment="1">
      <alignment horizontal="center" vertical="center"/>
    </xf>
    <xf numFmtId="0" fontId="34" fillId="3" borderId="14" xfId="0" applyFont="1" applyFill="1" applyBorder="1" applyAlignment="1">
      <alignment horizontal="center" vertical="center"/>
    </xf>
    <xf numFmtId="0" fontId="58" fillId="0" borderId="18" xfId="0" applyFont="1" applyBorder="1" applyAlignment="1">
      <alignment horizontal="left" vertical="top" wrapText="1"/>
    </xf>
    <xf numFmtId="0" fontId="58" fillId="0" borderId="11" xfId="0" applyFont="1" applyBorder="1" applyAlignment="1">
      <alignment horizontal="left" vertical="top" wrapText="1"/>
    </xf>
    <xf numFmtId="0" fontId="58" fillId="0" borderId="14" xfId="0" applyFont="1" applyBorder="1" applyAlignment="1">
      <alignment horizontal="left" vertical="top" wrapText="1"/>
    </xf>
    <xf numFmtId="0" fontId="58" fillId="0" borderId="15" xfId="0" applyFont="1" applyBorder="1" applyAlignment="1">
      <alignment horizontal="left" vertical="top" wrapText="1"/>
    </xf>
    <xf numFmtId="0" fontId="58" fillId="0" borderId="0" xfId="0" applyFont="1" applyBorder="1" applyAlignment="1">
      <alignment horizontal="left" vertical="top" wrapText="1"/>
    </xf>
    <xf numFmtId="0" fontId="58" fillId="0" borderId="16" xfId="0" applyFont="1" applyBorder="1" applyAlignment="1">
      <alignment horizontal="left" vertical="top" wrapText="1"/>
    </xf>
    <xf numFmtId="0" fontId="58" fillId="0" borderId="19" xfId="0" applyFont="1" applyBorder="1" applyAlignment="1">
      <alignment horizontal="left" vertical="top" wrapText="1"/>
    </xf>
    <xf numFmtId="0" fontId="58" fillId="0" borderId="20" xfId="0" applyFont="1" applyBorder="1" applyAlignment="1">
      <alignment horizontal="left" vertical="top" wrapText="1"/>
    </xf>
    <xf numFmtId="0" fontId="58" fillId="0" borderId="21" xfId="0" applyFont="1" applyBorder="1" applyAlignment="1">
      <alignment horizontal="left" vertical="top" wrapText="1"/>
    </xf>
    <xf numFmtId="0" fontId="41" fillId="0" borderId="18"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2" fillId="0" borderId="18" xfId="0" applyFont="1" applyFill="1" applyBorder="1" applyAlignment="1">
      <alignment horizontal="left" vertical="top" wrapText="1"/>
    </xf>
    <xf numFmtId="0" fontId="42" fillId="0" borderId="11"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15"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6"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0" borderId="20" xfId="0" applyFont="1" applyFill="1" applyBorder="1" applyAlignment="1">
      <alignment horizontal="left" vertical="top" wrapText="1"/>
    </xf>
    <xf numFmtId="0" fontId="42" fillId="0" borderId="21" xfId="0" applyFont="1" applyFill="1" applyBorder="1" applyAlignment="1">
      <alignment horizontal="left" vertical="top" wrapText="1"/>
    </xf>
    <xf numFmtId="0" fontId="30" fillId="0" borderId="0" xfId="0" applyFont="1" applyBorder="1" applyAlignment="1">
      <alignment horizontal="left" vertical="top" wrapText="1"/>
    </xf>
    <xf numFmtId="0" fontId="38" fillId="17" borderId="0" xfId="0" applyNumberFormat="1" applyFont="1" applyFill="1" applyBorder="1" applyAlignment="1">
      <alignment horizontal="left" vertical="top" wrapText="1"/>
    </xf>
    <xf numFmtId="0" fontId="38" fillId="17" borderId="16" xfId="0" applyNumberFormat="1" applyFont="1" applyFill="1" applyBorder="1" applyAlignment="1">
      <alignment horizontal="left" vertical="top" wrapText="1"/>
    </xf>
    <xf numFmtId="0" fontId="30" fillId="0" borderId="18" xfId="0" applyFont="1" applyBorder="1" applyAlignment="1">
      <alignment horizontal="left" vertical="top" wrapText="1"/>
    </xf>
    <xf numFmtId="0" fontId="30" fillId="0" borderId="11" xfId="0" applyFont="1" applyBorder="1" applyAlignment="1">
      <alignment horizontal="left" vertical="top" wrapText="1"/>
    </xf>
    <xf numFmtId="0" fontId="30" fillId="0" borderId="14" xfId="0" applyFont="1" applyBorder="1" applyAlignment="1">
      <alignment horizontal="left" vertical="top" wrapText="1"/>
    </xf>
    <xf numFmtId="0" fontId="30" fillId="0" borderId="15" xfId="0" applyFont="1" applyBorder="1" applyAlignment="1">
      <alignment horizontal="left" vertical="top" wrapText="1"/>
    </xf>
    <xf numFmtId="0" fontId="30" fillId="0" borderId="16" xfId="0" applyFont="1" applyBorder="1" applyAlignment="1">
      <alignment horizontal="left" vertical="top" wrapText="1"/>
    </xf>
    <xf numFmtId="0" fontId="30" fillId="0" borderId="19"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11" fillId="0" borderId="7" xfId="0" applyFont="1" applyBorder="1" applyAlignment="1">
      <alignment horizontal="center" vertical="center"/>
    </xf>
    <xf numFmtId="0" fontId="11" fillId="10" borderId="9" xfId="0" applyFont="1" applyFill="1" applyBorder="1" applyAlignment="1">
      <alignment horizontal="center" vertical="center"/>
    </xf>
    <xf numFmtId="0" fontId="11" fillId="10" borderId="10" xfId="0" applyFont="1" applyFill="1" applyBorder="1" applyAlignment="1">
      <alignment horizontal="center" vertical="center"/>
    </xf>
    <xf numFmtId="0" fontId="6" fillId="0" borderId="7" xfId="0" applyFont="1" applyBorder="1" applyAlignment="1">
      <alignment horizontal="center" vertical="center"/>
    </xf>
    <xf numFmtId="0" fontId="6" fillId="8" borderId="9" xfId="0" applyFont="1" applyFill="1" applyBorder="1" applyAlignment="1">
      <alignment horizontal="center" vertical="center"/>
    </xf>
    <xf numFmtId="0" fontId="6" fillId="8" borderId="1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1" xfId="0" applyFont="1" applyFill="1" applyBorder="1" applyAlignment="1">
      <alignment horizontal="center" vertical="center"/>
    </xf>
    <xf numFmtId="0" fontId="26" fillId="0" borderId="0"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9" fillId="4" borderId="1" xfId="0" applyFont="1" applyFill="1" applyBorder="1" applyAlignment="1">
      <alignment horizontal="center" vertical="center"/>
    </xf>
    <xf numFmtId="0" fontId="6" fillId="8" borderId="23" xfId="0" applyFont="1" applyFill="1" applyBorder="1" applyAlignment="1">
      <alignment horizontal="center" vertical="center" wrapText="1"/>
    </xf>
    <xf numFmtId="0" fontId="6" fillId="8" borderId="26" xfId="0" applyFont="1" applyFill="1" applyBorder="1" applyAlignment="1">
      <alignment horizontal="center" vertical="center"/>
    </xf>
    <xf numFmtId="0" fontId="6" fillId="0" borderId="26" xfId="0" applyFont="1" applyBorder="1" applyAlignment="1">
      <alignment horizontal="center" vertical="center"/>
    </xf>
    <xf numFmtId="0" fontId="9" fillId="2" borderId="1" xfId="0" applyFont="1" applyFill="1" applyBorder="1" applyAlignment="1">
      <alignment horizontal="center" vertical="center"/>
    </xf>
    <xf numFmtId="164" fontId="9" fillId="2" borderId="1" xfId="0" applyNumberFormat="1" applyFont="1" applyFill="1" applyBorder="1" applyAlignment="1">
      <alignment horizontal="center" vertical="center" wrapText="1"/>
    </xf>
    <xf numFmtId="0" fontId="9" fillId="7" borderId="3"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4" xfId="0" applyFont="1" applyFill="1" applyBorder="1" applyAlignment="1">
      <alignment horizontal="center" vertical="center"/>
    </xf>
  </cellXfs>
  <cellStyles count="3">
    <cellStyle name="Comma [0]" xfId="2" builtinId="6"/>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1"/>
          <c:tx>
            <c:strRef>
              <c:f>'For Doctor'!$K$99</c:f>
              <c:strCache>
                <c:ptCount val="1"/>
                <c:pt idx="0">
                  <c:v>Lower Target </c:v>
                </c:pt>
              </c:strCache>
            </c:strRef>
          </c:tx>
          <c:spPr>
            <a:noFill/>
            <a:ln w="25400">
              <a:noFill/>
            </a:ln>
            <a:effectLst/>
          </c:spPr>
          <c:cat>
            <c:strRef>
              <c:f>'For Doctor'!$H$100:$H$103</c:f>
              <c:strCache>
                <c:ptCount val="4"/>
                <c:pt idx="0">
                  <c:v>Total</c:v>
                </c:pt>
                <c:pt idx="1">
                  <c:v>Others</c:v>
                </c:pt>
                <c:pt idx="2">
                  <c:v>PN</c:v>
                </c:pt>
                <c:pt idx="3">
                  <c:v>EN</c:v>
                </c:pt>
              </c:strCache>
            </c:strRef>
          </c:cat>
          <c:val>
            <c:numRef>
              <c:f>'For Doctor'!$K$100:$K$103</c:f>
              <c:numCache>
                <c:formatCode>General</c:formatCode>
                <c:ptCount val="4"/>
                <c:pt idx="0">
                  <c:v>0</c:v>
                </c:pt>
                <c:pt idx="1">
                  <c:v>0</c:v>
                </c:pt>
                <c:pt idx="2">
                  <c:v>0</c:v>
                </c:pt>
                <c:pt idx="3">
                  <c:v>0</c:v>
                </c:pt>
              </c:numCache>
            </c:numRef>
          </c:val>
        </c:ser>
        <c:ser>
          <c:idx val="2"/>
          <c:order val="2"/>
          <c:tx>
            <c:strRef>
              <c:f>'For Doctor'!$L$99</c:f>
              <c:strCache>
                <c:ptCount val="1"/>
                <c:pt idx="0">
                  <c:v>Upper Target</c:v>
                </c:pt>
              </c:strCache>
            </c:strRef>
          </c:tx>
          <c:spPr>
            <a:gradFill flip="none" rotWithShape="1">
              <a:gsLst>
                <a:gs pos="0">
                  <a:schemeClr val="accent6">
                    <a:tint val="66000"/>
                    <a:satMod val="160000"/>
                  </a:schemeClr>
                </a:gs>
                <a:gs pos="50000">
                  <a:schemeClr val="accent6">
                    <a:tint val="44500"/>
                    <a:satMod val="160000"/>
                  </a:schemeClr>
                </a:gs>
                <a:gs pos="100000">
                  <a:schemeClr val="accent6">
                    <a:tint val="23500"/>
                    <a:satMod val="160000"/>
                  </a:schemeClr>
                </a:gs>
              </a:gsLst>
              <a:lin ang="5400000" scaled="1"/>
              <a:tileRect/>
            </a:gradFill>
            <a:ln>
              <a:noFill/>
            </a:ln>
            <a:effectLst/>
          </c:spPr>
          <c:cat>
            <c:strRef>
              <c:f>'For Doctor'!$H$100:$H$103</c:f>
              <c:strCache>
                <c:ptCount val="4"/>
                <c:pt idx="0">
                  <c:v>Total</c:v>
                </c:pt>
                <c:pt idx="1">
                  <c:v>Others</c:v>
                </c:pt>
                <c:pt idx="2">
                  <c:v>PN</c:v>
                </c:pt>
                <c:pt idx="3">
                  <c:v>EN</c:v>
                </c:pt>
              </c:strCache>
            </c:strRef>
          </c:cat>
          <c:val>
            <c:numRef>
              <c:f>'For Doctor'!$L$100:$L$103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994113680"/>
        <c:axId val="994115312"/>
      </c:areaChart>
      <c:barChart>
        <c:barDir val="col"/>
        <c:grouping val="clustered"/>
        <c:varyColors val="0"/>
        <c:ser>
          <c:idx val="0"/>
          <c:order val="0"/>
          <c:tx>
            <c:strRef>
              <c:f>'For Doctor'!$J$99</c:f>
              <c:strCache>
                <c:ptCount val="1"/>
                <c:pt idx="0">
                  <c:v>Actual</c:v>
                </c:pt>
              </c:strCache>
            </c:strRef>
          </c:tx>
          <c:spPr>
            <a:solidFill>
              <a:schemeClr val="accent1"/>
            </a:solidFill>
            <a:ln w="25400">
              <a:noFill/>
            </a:ln>
            <a:effectLst/>
          </c:spPr>
          <c:invertIfNegative val="0"/>
          <c:dPt>
            <c:idx val="0"/>
            <c:invertIfNegative val="0"/>
            <c:bubble3D val="0"/>
            <c:spPr>
              <a:gradFill flip="none" rotWithShape="1">
                <a:gsLst>
                  <a:gs pos="0">
                    <a:srgbClr val="FF0000">
                      <a:tint val="66000"/>
                      <a:satMod val="160000"/>
                    </a:srgbClr>
                  </a:gs>
                  <a:gs pos="50000">
                    <a:srgbClr val="FF0000">
                      <a:tint val="44500"/>
                      <a:satMod val="160000"/>
                    </a:srgbClr>
                  </a:gs>
                  <a:gs pos="100000">
                    <a:srgbClr val="FF0000">
                      <a:tint val="23500"/>
                      <a:satMod val="160000"/>
                    </a:srgbClr>
                  </a:gs>
                </a:gsLst>
                <a:lin ang="5400000" scaled="1"/>
                <a:tileRect/>
              </a:gradFill>
              <a:ln w="12700">
                <a:solidFill>
                  <a:srgbClr val="FF0000"/>
                </a:solidFill>
                <a:prstDash val="dash"/>
              </a:ln>
              <a:effectLst/>
            </c:spPr>
          </c:dPt>
          <c:dPt>
            <c:idx val="1"/>
            <c:invertIfNegative val="0"/>
            <c:bubble3D val="0"/>
            <c:spPr>
              <a:gradFill flip="none" rotWithShape="1">
                <a:gsLst>
                  <a:gs pos="0">
                    <a:schemeClr val="accent2">
                      <a:tint val="66000"/>
                      <a:satMod val="160000"/>
                    </a:schemeClr>
                  </a:gs>
                  <a:gs pos="50000">
                    <a:schemeClr val="accent2">
                      <a:tint val="44500"/>
                      <a:satMod val="160000"/>
                    </a:schemeClr>
                  </a:gs>
                  <a:gs pos="100000">
                    <a:schemeClr val="accent2">
                      <a:tint val="23500"/>
                      <a:satMod val="160000"/>
                    </a:schemeClr>
                  </a:gs>
                </a:gsLst>
                <a:lin ang="5400000" scaled="1"/>
                <a:tileRect/>
              </a:gradFill>
              <a:ln w="9525">
                <a:solidFill>
                  <a:sysClr val="windowText" lastClr="000000"/>
                </a:solidFill>
                <a:prstDash val="dash"/>
              </a:ln>
              <a:effectLst/>
            </c:spPr>
          </c:dPt>
          <c:dPt>
            <c:idx val="2"/>
            <c:invertIfNegative val="0"/>
            <c:bubble3D val="0"/>
            <c:spPr>
              <a:gradFill flip="none" rotWithShape="1">
                <a:gsLst>
                  <a:gs pos="0">
                    <a:srgbClr val="0070C0">
                      <a:tint val="66000"/>
                      <a:satMod val="160000"/>
                    </a:srgbClr>
                  </a:gs>
                  <a:gs pos="50000">
                    <a:srgbClr val="0070C0">
                      <a:tint val="44500"/>
                      <a:satMod val="160000"/>
                    </a:srgbClr>
                  </a:gs>
                  <a:gs pos="100000">
                    <a:srgbClr val="0070C0">
                      <a:tint val="23500"/>
                      <a:satMod val="160000"/>
                    </a:srgbClr>
                  </a:gs>
                </a:gsLst>
                <a:lin ang="5400000" scaled="1"/>
                <a:tileRect/>
              </a:gradFill>
              <a:ln w="9525">
                <a:solidFill>
                  <a:schemeClr val="tx1"/>
                </a:solidFill>
                <a:prstDash val="dash"/>
              </a:ln>
              <a:effectLst/>
            </c:spPr>
          </c:dPt>
          <c:dPt>
            <c:idx val="3"/>
            <c:invertIfNegative val="0"/>
            <c:bubble3D val="0"/>
            <c:spPr>
              <a:gradFill flip="none" rotWithShape="1">
                <a:gsLst>
                  <a:gs pos="0">
                    <a:schemeClr val="accent4">
                      <a:tint val="66000"/>
                      <a:satMod val="160000"/>
                    </a:schemeClr>
                  </a:gs>
                  <a:gs pos="50000">
                    <a:schemeClr val="accent4">
                      <a:tint val="44500"/>
                      <a:satMod val="160000"/>
                    </a:schemeClr>
                  </a:gs>
                  <a:gs pos="100000">
                    <a:schemeClr val="accent4">
                      <a:tint val="23500"/>
                      <a:satMod val="160000"/>
                    </a:schemeClr>
                  </a:gs>
                </a:gsLst>
                <a:lin ang="5400000" scaled="1"/>
                <a:tileRect/>
              </a:gradFill>
              <a:ln w="6350">
                <a:solidFill>
                  <a:sysClr val="windowText" lastClr="000000"/>
                </a:solidFill>
                <a:prstDash val="dash"/>
              </a:ln>
              <a:effectLst/>
            </c:spPr>
          </c:dPt>
          <c:cat>
            <c:strRef>
              <c:f>'For Doctor'!$H$100:$H$103</c:f>
              <c:strCache>
                <c:ptCount val="4"/>
                <c:pt idx="0">
                  <c:v>Total</c:v>
                </c:pt>
                <c:pt idx="1">
                  <c:v>Others</c:v>
                </c:pt>
                <c:pt idx="2">
                  <c:v>PN</c:v>
                </c:pt>
                <c:pt idx="3">
                  <c:v>EN</c:v>
                </c:pt>
              </c:strCache>
            </c:strRef>
          </c:cat>
          <c:val>
            <c:numRef>
              <c:f>'For Doctor'!$J$100:$J$103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27"/>
        <c:axId val="833927920"/>
        <c:axId val="833928464"/>
      </c:barChart>
      <c:catAx>
        <c:axId val="83392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833928464"/>
        <c:crosses val="autoZero"/>
        <c:auto val="1"/>
        <c:lblAlgn val="ctr"/>
        <c:lblOffset val="100"/>
        <c:noMultiLvlLbl val="0"/>
      </c:catAx>
      <c:valAx>
        <c:axId val="833928464"/>
        <c:scaling>
          <c:orientation val="minMax"/>
          <c:max val="2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833927920"/>
        <c:crosses val="autoZero"/>
        <c:crossBetween val="between"/>
        <c:majorUnit val="200"/>
      </c:valAx>
      <c:valAx>
        <c:axId val="994115312"/>
        <c:scaling>
          <c:orientation val="minMax"/>
          <c:max val="2500"/>
        </c:scaling>
        <c:delete val="1"/>
        <c:axPos val="r"/>
        <c:numFmt formatCode="General" sourceLinked="1"/>
        <c:majorTickMark val="out"/>
        <c:minorTickMark val="none"/>
        <c:tickLblPos val="nextTo"/>
        <c:crossAx val="994113680"/>
        <c:crosses val="max"/>
        <c:crossBetween val="midCat"/>
      </c:valAx>
      <c:catAx>
        <c:axId val="994113680"/>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994115312"/>
        <c:crosses val="autoZero"/>
        <c:auto val="1"/>
        <c:lblAlgn val="ctr"/>
        <c:lblOffset val="100"/>
        <c:noMultiLvlLbl val="0"/>
      </c:catAx>
      <c:spPr>
        <a:noFill/>
        <a:ln>
          <a:noFill/>
        </a:ln>
        <a:effectLst/>
      </c:spPr>
    </c:plotArea>
    <c:plotVisOnly val="1"/>
    <c:dispBlanksAs val="zero"/>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Database!$K$51:$S$51</c:f>
              <c:strCache>
                <c:ptCount val="9"/>
                <c:pt idx="0">
                  <c:v>Sodium
(mg)</c:v>
                </c:pt>
                <c:pt idx="1">
                  <c:v>Potassium
(mg)</c:v>
                </c:pt>
                <c:pt idx="2">
                  <c:v>Chloride
(mg)</c:v>
                </c:pt>
                <c:pt idx="3">
                  <c:v>Calcium
(mg)</c:v>
                </c:pt>
                <c:pt idx="4">
                  <c:v>Magnesium
(mg)</c:v>
                </c:pt>
                <c:pt idx="5">
                  <c:v>Phosphorous
(mg)</c:v>
                </c:pt>
                <c:pt idx="6">
                  <c:v>Iron
(mg)</c:v>
                </c:pt>
                <c:pt idx="7">
                  <c:v>Zinc
(mg)</c:v>
                </c:pt>
                <c:pt idx="8">
                  <c:v>Iodine
(μg)</c:v>
                </c:pt>
              </c:strCache>
            </c:strRef>
          </c:cat>
          <c:val>
            <c:numRef>
              <c:f>Database!$K$52:$S$52</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1100376640"/>
        <c:axId val="1100382624"/>
      </c:radarChart>
      <c:catAx>
        <c:axId val="1100376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82624"/>
        <c:crosses val="autoZero"/>
        <c:auto val="1"/>
        <c:lblAlgn val="ctr"/>
        <c:lblOffset val="100"/>
        <c:noMultiLvlLbl val="0"/>
      </c:catAx>
      <c:valAx>
        <c:axId val="1100382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6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1"/>
          <c:tx>
            <c:strRef>
              <c:f>'For Doctor'!$K$106</c:f>
              <c:strCache>
                <c:ptCount val="1"/>
                <c:pt idx="0">
                  <c:v>Lower Target </c:v>
                </c:pt>
              </c:strCache>
            </c:strRef>
          </c:tx>
          <c:spPr>
            <a:noFill/>
            <a:ln w="25400">
              <a:noFill/>
            </a:ln>
            <a:effectLst/>
          </c:spPr>
          <c:cat>
            <c:strRef>
              <c:f>'For Doctor'!$H$107:$H$110</c:f>
              <c:strCache>
                <c:ptCount val="4"/>
                <c:pt idx="0">
                  <c:v>Total</c:v>
                </c:pt>
                <c:pt idx="1">
                  <c:v>Others</c:v>
                </c:pt>
                <c:pt idx="2">
                  <c:v>PN</c:v>
                </c:pt>
                <c:pt idx="3">
                  <c:v>EN</c:v>
                </c:pt>
              </c:strCache>
            </c:strRef>
          </c:cat>
          <c:val>
            <c:numRef>
              <c:f>'For Doctor'!$K$107:$K$110</c:f>
              <c:numCache>
                <c:formatCode>General</c:formatCode>
                <c:ptCount val="4"/>
                <c:pt idx="0">
                  <c:v>0</c:v>
                </c:pt>
                <c:pt idx="1">
                  <c:v>0</c:v>
                </c:pt>
                <c:pt idx="2">
                  <c:v>0</c:v>
                </c:pt>
                <c:pt idx="3">
                  <c:v>0</c:v>
                </c:pt>
              </c:numCache>
            </c:numRef>
          </c:val>
        </c:ser>
        <c:ser>
          <c:idx val="2"/>
          <c:order val="2"/>
          <c:tx>
            <c:strRef>
              <c:f>'For Doctor'!$L$106</c:f>
              <c:strCache>
                <c:ptCount val="1"/>
                <c:pt idx="0">
                  <c:v>Upper Target</c:v>
                </c:pt>
              </c:strCache>
            </c:strRef>
          </c:tx>
          <c:spPr>
            <a:gradFill flip="none" rotWithShape="1">
              <a:gsLst>
                <a:gs pos="0">
                  <a:schemeClr val="accent6">
                    <a:tint val="66000"/>
                    <a:satMod val="160000"/>
                  </a:schemeClr>
                </a:gs>
                <a:gs pos="50000">
                  <a:schemeClr val="accent6">
                    <a:tint val="44500"/>
                    <a:satMod val="160000"/>
                  </a:schemeClr>
                </a:gs>
                <a:gs pos="100000">
                  <a:schemeClr val="accent6">
                    <a:tint val="23500"/>
                    <a:satMod val="160000"/>
                  </a:schemeClr>
                </a:gs>
              </a:gsLst>
              <a:lin ang="5400000" scaled="1"/>
              <a:tileRect/>
            </a:gradFill>
            <a:ln w="25400">
              <a:noFill/>
            </a:ln>
            <a:effectLst/>
          </c:spPr>
          <c:cat>
            <c:strRef>
              <c:f>'For Doctor'!$H$107:$H$110</c:f>
              <c:strCache>
                <c:ptCount val="4"/>
                <c:pt idx="0">
                  <c:v>Total</c:v>
                </c:pt>
                <c:pt idx="1">
                  <c:v>Others</c:v>
                </c:pt>
                <c:pt idx="2">
                  <c:v>PN</c:v>
                </c:pt>
                <c:pt idx="3">
                  <c:v>EN</c:v>
                </c:pt>
              </c:strCache>
            </c:strRef>
          </c:cat>
          <c:val>
            <c:numRef>
              <c:f>'For Doctor'!$L$107:$L$110</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1100372288"/>
        <c:axId val="1100377184"/>
      </c:areaChart>
      <c:barChart>
        <c:barDir val="col"/>
        <c:grouping val="clustered"/>
        <c:varyColors val="0"/>
        <c:ser>
          <c:idx val="0"/>
          <c:order val="0"/>
          <c:tx>
            <c:strRef>
              <c:f>'For Doctor'!$J$106</c:f>
              <c:strCache>
                <c:ptCount val="1"/>
                <c:pt idx="0">
                  <c:v>Actual</c:v>
                </c:pt>
              </c:strCache>
            </c:strRef>
          </c:tx>
          <c:spPr>
            <a:solidFill>
              <a:srgbClr val="FF0000"/>
            </a:solidFill>
            <a:ln>
              <a:noFill/>
            </a:ln>
            <a:effectLst/>
          </c:spPr>
          <c:invertIfNegative val="0"/>
          <c:dPt>
            <c:idx val="0"/>
            <c:invertIfNegative val="0"/>
            <c:bubble3D val="0"/>
            <c:spPr>
              <a:gradFill flip="none" rotWithShape="1">
                <a:gsLst>
                  <a:gs pos="0">
                    <a:srgbClr val="002060">
                      <a:tint val="66000"/>
                      <a:satMod val="160000"/>
                    </a:srgbClr>
                  </a:gs>
                  <a:gs pos="50000">
                    <a:srgbClr val="002060">
                      <a:tint val="44500"/>
                      <a:satMod val="160000"/>
                    </a:srgbClr>
                  </a:gs>
                  <a:gs pos="100000">
                    <a:srgbClr val="002060">
                      <a:tint val="23500"/>
                      <a:satMod val="160000"/>
                    </a:srgbClr>
                  </a:gs>
                </a:gsLst>
                <a:lin ang="5400000" scaled="1"/>
                <a:tileRect/>
              </a:gradFill>
              <a:ln w="12700">
                <a:solidFill>
                  <a:srgbClr val="002060"/>
                </a:solidFill>
                <a:prstDash val="solid"/>
              </a:ln>
              <a:effectLst/>
            </c:spPr>
          </c:dPt>
          <c:dPt>
            <c:idx val="1"/>
            <c:invertIfNegative val="0"/>
            <c:bubble3D val="0"/>
            <c:spPr>
              <a:gradFill flip="none" rotWithShape="1">
                <a:gsLst>
                  <a:gs pos="0">
                    <a:schemeClr val="accent2">
                      <a:tint val="66000"/>
                      <a:satMod val="160000"/>
                    </a:schemeClr>
                  </a:gs>
                  <a:gs pos="50000">
                    <a:schemeClr val="accent2">
                      <a:tint val="44500"/>
                      <a:satMod val="160000"/>
                    </a:schemeClr>
                  </a:gs>
                  <a:gs pos="100000">
                    <a:schemeClr val="accent2">
                      <a:tint val="23500"/>
                      <a:satMod val="160000"/>
                    </a:schemeClr>
                  </a:gs>
                </a:gsLst>
                <a:lin ang="16200000" scaled="1"/>
                <a:tileRect/>
              </a:gradFill>
              <a:ln>
                <a:solidFill>
                  <a:sysClr val="windowText" lastClr="000000"/>
                </a:solidFill>
              </a:ln>
              <a:effectLst/>
            </c:spPr>
          </c:dPt>
          <c:dPt>
            <c:idx val="2"/>
            <c:invertIfNegative val="0"/>
            <c:bubble3D val="0"/>
            <c:spPr>
              <a:gradFill flip="none" rotWithShape="1">
                <a:gsLst>
                  <a:gs pos="0">
                    <a:schemeClr val="accent5">
                      <a:tint val="66000"/>
                      <a:satMod val="160000"/>
                    </a:schemeClr>
                  </a:gs>
                  <a:gs pos="50000">
                    <a:schemeClr val="accent5">
                      <a:tint val="44500"/>
                      <a:satMod val="160000"/>
                    </a:schemeClr>
                  </a:gs>
                  <a:gs pos="100000">
                    <a:schemeClr val="accent5">
                      <a:tint val="23500"/>
                      <a:satMod val="160000"/>
                    </a:schemeClr>
                  </a:gs>
                </a:gsLst>
                <a:lin ang="16200000" scaled="1"/>
                <a:tileRect/>
              </a:gradFill>
              <a:ln>
                <a:solidFill>
                  <a:sysClr val="windowText" lastClr="000000"/>
                </a:solidFill>
              </a:ln>
              <a:effectLst/>
            </c:spPr>
          </c:dPt>
          <c:dPt>
            <c:idx val="3"/>
            <c:invertIfNegative val="0"/>
            <c:bubble3D val="0"/>
            <c:spPr>
              <a:gradFill flip="none" rotWithShape="1">
                <a:gsLst>
                  <a:gs pos="0">
                    <a:schemeClr val="accent4">
                      <a:tint val="66000"/>
                      <a:satMod val="160000"/>
                    </a:schemeClr>
                  </a:gs>
                  <a:gs pos="50000">
                    <a:schemeClr val="accent4">
                      <a:tint val="44500"/>
                      <a:satMod val="160000"/>
                    </a:schemeClr>
                  </a:gs>
                  <a:gs pos="100000">
                    <a:schemeClr val="accent4">
                      <a:tint val="23500"/>
                      <a:satMod val="160000"/>
                    </a:schemeClr>
                  </a:gs>
                </a:gsLst>
                <a:lin ang="16200000" scaled="1"/>
                <a:tileRect/>
              </a:gradFill>
              <a:ln>
                <a:solidFill>
                  <a:sysClr val="windowText" lastClr="000000"/>
                </a:solidFill>
              </a:ln>
              <a:effectLst/>
            </c:spPr>
          </c:dPt>
          <c:cat>
            <c:strRef>
              <c:f>'For Doctor'!$H$107:$H$110</c:f>
              <c:strCache>
                <c:ptCount val="4"/>
                <c:pt idx="0">
                  <c:v>Total</c:v>
                </c:pt>
                <c:pt idx="1">
                  <c:v>Others</c:v>
                </c:pt>
                <c:pt idx="2">
                  <c:v>PN</c:v>
                </c:pt>
                <c:pt idx="3">
                  <c:v>EN</c:v>
                </c:pt>
              </c:strCache>
            </c:strRef>
          </c:cat>
          <c:val>
            <c:numRef>
              <c:f>'For Doctor'!$J$107:$J$110</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38"/>
        <c:axId val="994117488"/>
        <c:axId val="1100384800"/>
      </c:barChart>
      <c:catAx>
        <c:axId val="99411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84800"/>
        <c:crosses val="autoZero"/>
        <c:auto val="1"/>
        <c:lblAlgn val="ctr"/>
        <c:lblOffset val="100"/>
        <c:noMultiLvlLbl val="0"/>
      </c:catAx>
      <c:valAx>
        <c:axId val="1100384800"/>
        <c:scaling>
          <c:orientation val="minMax"/>
          <c:max val="1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994117488"/>
        <c:crosses val="autoZero"/>
        <c:crossBetween val="between"/>
      </c:valAx>
      <c:valAx>
        <c:axId val="1100377184"/>
        <c:scaling>
          <c:orientation val="minMax"/>
          <c:max val="140"/>
        </c:scaling>
        <c:delete val="1"/>
        <c:axPos val="r"/>
        <c:numFmt formatCode="General" sourceLinked="1"/>
        <c:majorTickMark val="none"/>
        <c:minorTickMark val="none"/>
        <c:tickLblPos val="nextTo"/>
        <c:crossAx val="1100372288"/>
        <c:crosses val="max"/>
        <c:crossBetween val="midCat"/>
      </c:valAx>
      <c:catAx>
        <c:axId val="1100372288"/>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7184"/>
        <c:crosses val="autoZero"/>
        <c:auto val="1"/>
        <c:lblAlgn val="ctr"/>
        <c:lblOffset val="100"/>
        <c:noMultiLvlLbl val="0"/>
      </c:catAx>
      <c:spPr>
        <a:noFill/>
        <a:ln>
          <a:noFill/>
        </a:ln>
        <a:effectLst/>
      </c:spPr>
    </c:plotArea>
    <c:plotVisOnly val="1"/>
    <c:dispBlanksAs val="zero"/>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2"/>
              </a:solidFill>
              <a:round/>
            </a:ln>
            <a:effectLst/>
          </c:spPr>
          <c:marker>
            <c:symbol val="none"/>
          </c:marker>
          <c:cat>
            <c:strRef>
              <c:f>Database!$Z$51:$AJ$51</c:f>
              <c:strCache>
                <c:ptCount val="11"/>
                <c:pt idx="0">
                  <c:v>Vitamin A
(μg)</c:v>
                </c:pt>
                <c:pt idx="1">
                  <c:v>Vitamin E
(mg)</c:v>
                </c:pt>
                <c:pt idx="2">
                  <c:v>Vitamin D
(μg)</c:v>
                </c:pt>
                <c:pt idx="3">
                  <c:v>Vitamin K
(μg)</c:v>
                </c:pt>
                <c:pt idx="4">
                  <c:v>Vitamin B1
(mg)</c:v>
                </c:pt>
                <c:pt idx="5">
                  <c:v>Vitamin B2
(mg)</c:v>
                </c:pt>
                <c:pt idx="6">
                  <c:v>Niacin
(mg)</c:v>
                </c:pt>
                <c:pt idx="7">
                  <c:v>Vitamin B6
(mg)</c:v>
                </c:pt>
                <c:pt idx="8">
                  <c:v>Vitamin B12
(μg)</c:v>
                </c:pt>
                <c:pt idx="9">
                  <c:v>Folic Acid
(μg)</c:v>
                </c:pt>
                <c:pt idx="10">
                  <c:v>Vitamin C
(mg)</c:v>
                </c:pt>
              </c:strCache>
            </c:strRef>
          </c:cat>
          <c:val>
            <c:numRef>
              <c:f>Database!$Z$52:$AJ$52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axId val="1100372832"/>
        <c:axId val="1100376096"/>
      </c:radarChart>
      <c:catAx>
        <c:axId val="110037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6096"/>
        <c:crosses val="autoZero"/>
        <c:auto val="1"/>
        <c:lblAlgn val="ctr"/>
        <c:lblOffset val="100"/>
        <c:noMultiLvlLbl val="0"/>
      </c:catAx>
      <c:valAx>
        <c:axId val="1100376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2832"/>
        <c:crosses val="autoZero"/>
        <c:crossBetween val="between"/>
      </c:valAx>
      <c:spPr>
        <a:noFill/>
        <a:ln>
          <a:noFill/>
        </a:ln>
        <a:effectLst/>
      </c:spPr>
    </c:plotArea>
    <c:plotVisOnly val="1"/>
    <c:dispBlanksAs val="gap"/>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Database!$K$51:$S$51</c:f>
              <c:strCache>
                <c:ptCount val="9"/>
                <c:pt idx="0">
                  <c:v>Sodium
(mg)</c:v>
                </c:pt>
                <c:pt idx="1">
                  <c:v>Potassium
(mg)</c:v>
                </c:pt>
                <c:pt idx="2">
                  <c:v>Chloride
(mg)</c:v>
                </c:pt>
                <c:pt idx="3">
                  <c:v>Calcium
(mg)</c:v>
                </c:pt>
                <c:pt idx="4">
                  <c:v>Magnesium
(mg)</c:v>
                </c:pt>
                <c:pt idx="5">
                  <c:v>Phosphorous
(mg)</c:v>
                </c:pt>
                <c:pt idx="6">
                  <c:v>Iron
(mg)</c:v>
                </c:pt>
                <c:pt idx="7">
                  <c:v>Zinc
(mg)</c:v>
                </c:pt>
                <c:pt idx="8">
                  <c:v>Iodine
(μg)</c:v>
                </c:pt>
              </c:strCache>
            </c:strRef>
          </c:cat>
          <c:val>
            <c:numRef>
              <c:f>Database!$K$52:$S$52</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1100374464"/>
        <c:axId val="1100373376"/>
      </c:radarChart>
      <c:catAx>
        <c:axId val="110037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3376"/>
        <c:crosses val="autoZero"/>
        <c:auto val="1"/>
        <c:lblAlgn val="ctr"/>
        <c:lblOffset val="100"/>
        <c:noMultiLvlLbl val="0"/>
      </c:catAx>
      <c:valAx>
        <c:axId val="11003733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4464"/>
        <c:crosses val="autoZero"/>
        <c:crossBetween val="between"/>
      </c:valAx>
      <c:spPr>
        <a:noFill/>
        <a:ln>
          <a:noFill/>
        </a:ln>
        <a:effectLst/>
      </c:spPr>
    </c:plotArea>
    <c:plotVisOnly val="1"/>
    <c:dispBlanksAs val="gap"/>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1"/>
          <c:tx>
            <c:strRef>
              <c:f>'For Patient'!$I$59</c:f>
              <c:strCache>
                <c:ptCount val="1"/>
                <c:pt idx="0">
                  <c:v>Lower Target </c:v>
                </c:pt>
              </c:strCache>
            </c:strRef>
          </c:tx>
          <c:spPr>
            <a:noFill/>
            <a:ln w="25400">
              <a:noFill/>
            </a:ln>
            <a:effectLst/>
          </c:spPr>
          <c:cat>
            <c:strRef>
              <c:f>'For Patient'!$G$60:$G$62</c:f>
              <c:strCache>
                <c:ptCount val="3"/>
                <c:pt idx="0">
                  <c:v>Total</c:v>
                </c:pt>
                <c:pt idx="1">
                  <c:v>PN</c:v>
                </c:pt>
                <c:pt idx="2">
                  <c:v>EN</c:v>
                </c:pt>
              </c:strCache>
            </c:strRef>
          </c:cat>
          <c:val>
            <c:numRef>
              <c:f>'For Patient'!$I$60:$I$62</c:f>
              <c:numCache>
                <c:formatCode>General</c:formatCode>
                <c:ptCount val="3"/>
                <c:pt idx="0">
                  <c:v>0</c:v>
                </c:pt>
                <c:pt idx="1">
                  <c:v>0</c:v>
                </c:pt>
                <c:pt idx="2">
                  <c:v>0</c:v>
                </c:pt>
              </c:numCache>
            </c:numRef>
          </c:val>
        </c:ser>
        <c:ser>
          <c:idx val="2"/>
          <c:order val="2"/>
          <c:tx>
            <c:strRef>
              <c:f>'For Patient'!$J$59</c:f>
              <c:strCache>
                <c:ptCount val="1"/>
                <c:pt idx="0">
                  <c:v>Upper Target</c:v>
                </c:pt>
              </c:strCache>
            </c:strRef>
          </c:tx>
          <c:spPr>
            <a:gradFill flip="none" rotWithShape="1">
              <a:gsLst>
                <a:gs pos="0">
                  <a:schemeClr val="accent6">
                    <a:tint val="66000"/>
                    <a:satMod val="160000"/>
                  </a:schemeClr>
                </a:gs>
                <a:gs pos="50000">
                  <a:schemeClr val="accent6">
                    <a:tint val="44500"/>
                    <a:satMod val="160000"/>
                  </a:schemeClr>
                </a:gs>
                <a:gs pos="100000">
                  <a:schemeClr val="accent6">
                    <a:tint val="23500"/>
                    <a:satMod val="160000"/>
                  </a:schemeClr>
                </a:gs>
              </a:gsLst>
              <a:lin ang="5400000" scaled="1"/>
              <a:tileRect/>
            </a:gradFill>
            <a:ln>
              <a:noFill/>
            </a:ln>
            <a:effectLst/>
          </c:spPr>
          <c:cat>
            <c:strRef>
              <c:f>'For Patient'!$G$60:$G$62</c:f>
              <c:strCache>
                <c:ptCount val="3"/>
                <c:pt idx="0">
                  <c:v>Total</c:v>
                </c:pt>
                <c:pt idx="1">
                  <c:v>PN</c:v>
                </c:pt>
                <c:pt idx="2">
                  <c:v>EN</c:v>
                </c:pt>
              </c:strCache>
            </c:strRef>
          </c:cat>
          <c:val>
            <c:numRef>
              <c:f>'For Patient'!$J$60:$J$62</c:f>
              <c:numCache>
                <c:formatCode>General</c:formatCode>
                <c:ptCount val="3"/>
                <c:pt idx="0">
                  <c:v>0</c:v>
                </c:pt>
                <c:pt idx="1">
                  <c:v>0</c:v>
                </c:pt>
                <c:pt idx="2">
                  <c:v>0</c:v>
                </c:pt>
              </c:numCache>
            </c:numRef>
          </c:val>
        </c:ser>
        <c:dLbls>
          <c:showLegendKey val="0"/>
          <c:showVal val="0"/>
          <c:showCatName val="0"/>
          <c:showSerName val="0"/>
          <c:showPercent val="0"/>
          <c:showBubbleSize val="0"/>
        </c:dLbls>
        <c:axId val="1100375008"/>
        <c:axId val="1100377728"/>
      </c:areaChart>
      <c:barChart>
        <c:barDir val="col"/>
        <c:grouping val="clustered"/>
        <c:varyColors val="0"/>
        <c:ser>
          <c:idx val="0"/>
          <c:order val="0"/>
          <c:tx>
            <c:strRef>
              <c:f>'For Patient'!$H$59</c:f>
              <c:strCache>
                <c:ptCount val="1"/>
                <c:pt idx="0">
                  <c:v>Actual</c:v>
                </c:pt>
              </c:strCache>
            </c:strRef>
          </c:tx>
          <c:spPr>
            <a:solidFill>
              <a:schemeClr val="accent1"/>
            </a:solidFill>
            <a:ln w="25400">
              <a:noFill/>
            </a:ln>
            <a:effectLst/>
          </c:spPr>
          <c:invertIfNegative val="0"/>
          <c:dPt>
            <c:idx val="0"/>
            <c:invertIfNegative val="0"/>
            <c:bubble3D val="0"/>
            <c:spPr>
              <a:gradFill flip="none" rotWithShape="1">
                <a:gsLst>
                  <a:gs pos="0">
                    <a:srgbClr val="FF0000">
                      <a:tint val="66000"/>
                      <a:satMod val="160000"/>
                    </a:srgbClr>
                  </a:gs>
                  <a:gs pos="50000">
                    <a:srgbClr val="FF0000">
                      <a:tint val="44500"/>
                      <a:satMod val="160000"/>
                    </a:srgbClr>
                  </a:gs>
                  <a:gs pos="100000">
                    <a:srgbClr val="FF0000">
                      <a:tint val="23500"/>
                      <a:satMod val="160000"/>
                    </a:srgbClr>
                  </a:gs>
                </a:gsLst>
                <a:lin ang="5400000" scaled="1"/>
                <a:tileRect/>
              </a:gradFill>
              <a:ln w="25400">
                <a:noFill/>
              </a:ln>
              <a:effectLst/>
            </c:spPr>
          </c:dPt>
          <c:dPt>
            <c:idx val="1"/>
            <c:invertIfNegative val="0"/>
            <c:bubble3D val="0"/>
            <c:spPr>
              <a:gradFill flip="none" rotWithShape="1">
                <a:gsLst>
                  <a:gs pos="0">
                    <a:srgbClr val="0070C0">
                      <a:tint val="66000"/>
                      <a:satMod val="160000"/>
                    </a:srgbClr>
                  </a:gs>
                  <a:gs pos="50000">
                    <a:srgbClr val="0070C0">
                      <a:tint val="44500"/>
                      <a:satMod val="160000"/>
                    </a:srgbClr>
                  </a:gs>
                  <a:gs pos="100000">
                    <a:srgbClr val="0070C0">
                      <a:tint val="23500"/>
                      <a:satMod val="160000"/>
                    </a:srgbClr>
                  </a:gs>
                </a:gsLst>
                <a:lin ang="5400000" scaled="1"/>
                <a:tileRect/>
              </a:gradFill>
              <a:ln w="25400">
                <a:noFill/>
              </a:ln>
              <a:effectLst/>
            </c:spPr>
          </c:dPt>
          <c:dPt>
            <c:idx val="2"/>
            <c:invertIfNegative val="0"/>
            <c:bubble3D val="0"/>
            <c:spPr>
              <a:gradFill flip="none" rotWithShape="1">
                <a:gsLst>
                  <a:gs pos="0">
                    <a:schemeClr val="accent4">
                      <a:tint val="66000"/>
                      <a:satMod val="160000"/>
                    </a:schemeClr>
                  </a:gs>
                  <a:gs pos="50000">
                    <a:schemeClr val="accent4">
                      <a:tint val="44500"/>
                      <a:satMod val="160000"/>
                    </a:schemeClr>
                  </a:gs>
                  <a:gs pos="100000">
                    <a:schemeClr val="accent4">
                      <a:tint val="23500"/>
                      <a:satMod val="160000"/>
                    </a:schemeClr>
                  </a:gs>
                </a:gsLst>
                <a:lin ang="5400000" scaled="1"/>
                <a:tileRect/>
              </a:gradFill>
              <a:ln w="25400">
                <a:noFill/>
              </a:ln>
              <a:effectLst/>
            </c:spPr>
          </c:dPt>
          <c:cat>
            <c:strRef>
              <c:f>'For Patient'!$G$60:$G$62</c:f>
              <c:strCache>
                <c:ptCount val="3"/>
                <c:pt idx="0">
                  <c:v>Total</c:v>
                </c:pt>
                <c:pt idx="1">
                  <c:v>PN</c:v>
                </c:pt>
                <c:pt idx="2">
                  <c:v>EN</c:v>
                </c:pt>
              </c:strCache>
            </c:strRef>
          </c:cat>
          <c:val>
            <c:numRef>
              <c:f>'For Patient'!$H$60:$H$62</c:f>
              <c:numCache>
                <c:formatCode>General</c:formatCode>
                <c:ptCount val="3"/>
                <c:pt idx="0">
                  <c:v>0</c:v>
                </c:pt>
                <c:pt idx="1">
                  <c:v>0</c:v>
                </c:pt>
                <c:pt idx="2">
                  <c:v>0</c:v>
                </c:pt>
              </c:numCache>
            </c:numRef>
          </c:val>
        </c:ser>
        <c:dLbls>
          <c:showLegendKey val="0"/>
          <c:showVal val="0"/>
          <c:showCatName val="0"/>
          <c:showSerName val="0"/>
          <c:showPercent val="0"/>
          <c:showBubbleSize val="0"/>
        </c:dLbls>
        <c:gapWidth val="27"/>
        <c:axId val="1100383712"/>
        <c:axId val="1100375552"/>
      </c:barChart>
      <c:catAx>
        <c:axId val="110038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5552"/>
        <c:crosses val="autoZero"/>
        <c:auto val="1"/>
        <c:lblAlgn val="ctr"/>
        <c:lblOffset val="100"/>
        <c:noMultiLvlLbl val="0"/>
      </c:catAx>
      <c:valAx>
        <c:axId val="1100375552"/>
        <c:scaling>
          <c:orientation val="minMax"/>
          <c:max val="2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83712"/>
        <c:crosses val="autoZero"/>
        <c:crossBetween val="between"/>
        <c:majorUnit val="200"/>
      </c:valAx>
      <c:valAx>
        <c:axId val="1100377728"/>
        <c:scaling>
          <c:orientation val="minMax"/>
          <c:max val="2500"/>
        </c:scaling>
        <c:delete val="1"/>
        <c:axPos val="r"/>
        <c:numFmt formatCode="General" sourceLinked="1"/>
        <c:majorTickMark val="out"/>
        <c:minorTickMark val="none"/>
        <c:tickLblPos val="nextTo"/>
        <c:crossAx val="1100375008"/>
        <c:crosses val="max"/>
        <c:crossBetween val="midCat"/>
      </c:valAx>
      <c:catAx>
        <c:axId val="1100375008"/>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7728"/>
        <c:crosses val="autoZero"/>
        <c:auto val="1"/>
        <c:lblAlgn val="ctr"/>
        <c:lblOffset val="100"/>
        <c:noMultiLvlLbl val="0"/>
      </c:catAx>
      <c:spPr>
        <a:noFill/>
        <a:ln>
          <a:noFill/>
        </a:ln>
        <a:effectLst/>
      </c:spPr>
    </c:plotArea>
    <c:plotVisOnly val="1"/>
    <c:dispBlanksAs val="zero"/>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1"/>
          <c:tx>
            <c:strRef>
              <c:f>'For Patient'!$I$65</c:f>
              <c:strCache>
                <c:ptCount val="1"/>
                <c:pt idx="0">
                  <c:v>Lower Target </c:v>
                </c:pt>
              </c:strCache>
            </c:strRef>
          </c:tx>
          <c:spPr>
            <a:noFill/>
            <a:ln w="25400">
              <a:noFill/>
            </a:ln>
            <a:effectLst/>
          </c:spPr>
          <c:cat>
            <c:strRef>
              <c:f>'For Patient'!$G$66:$G$68</c:f>
              <c:strCache>
                <c:ptCount val="3"/>
                <c:pt idx="0">
                  <c:v>Total</c:v>
                </c:pt>
                <c:pt idx="1">
                  <c:v>PN</c:v>
                </c:pt>
                <c:pt idx="2">
                  <c:v>EN</c:v>
                </c:pt>
              </c:strCache>
            </c:strRef>
          </c:cat>
          <c:val>
            <c:numRef>
              <c:f>'For Patient'!$I$66:$I$68</c:f>
              <c:numCache>
                <c:formatCode>General</c:formatCode>
                <c:ptCount val="3"/>
                <c:pt idx="0">
                  <c:v>0</c:v>
                </c:pt>
                <c:pt idx="1">
                  <c:v>0</c:v>
                </c:pt>
                <c:pt idx="2">
                  <c:v>0</c:v>
                </c:pt>
              </c:numCache>
            </c:numRef>
          </c:val>
        </c:ser>
        <c:ser>
          <c:idx val="2"/>
          <c:order val="2"/>
          <c:tx>
            <c:strRef>
              <c:f>'For Patient'!$J$65</c:f>
              <c:strCache>
                <c:ptCount val="1"/>
                <c:pt idx="0">
                  <c:v>Upper Target</c:v>
                </c:pt>
              </c:strCache>
            </c:strRef>
          </c:tx>
          <c:spPr>
            <a:gradFill flip="none" rotWithShape="1">
              <a:gsLst>
                <a:gs pos="0">
                  <a:schemeClr val="accent6">
                    <a:tint val="66000"/>
                    <a:satMod val="160000"/>
                  </a:schemeClr>
                </a:gs>
                <a:gs pos="50000">
                  <a:schemeClr val="accent6">
                    <a:tint val="44500"/>
                    <a:satMod val="160000"/>
                  </a:schemeClr>
                </a:gs>
                <a:gs pos="100000">
                  <a:schemeClr val="accent6">
                    <a:tint val="23500"/>
                    <a:satMod val="160000"/>
                  </a:schemeClr>
                </a:gs>
              </a:gsLst>
              <a:lin ang="5400000" scaled="1"/>
              <a:tileRect/>
            </a:gradFill>
            <a:ln w="25400">
              <a:noFill/>
            </a:ln>
            <a:effectLst/>
          </c:spPr>
          <c:cat>
            <c:strRef>
              <c:f>'For Patient'!$G$66:$G$68</c:f>
              <c:strCache>
                <c:ptCount val="3"/>
                <c:pt idx="0">
                  <c:v>Total</c:v>
                </c:pt>
                <c:pt idx="1">
                  <c:v>PN</c:v>
                </c:pt>
                <c:pt idx="2">
                  <c:v>EN</c:v>
                </c:pt>
              </c:strCache>
            </c:strRef>
          </c:cat>
          <c:val>
            <c:numRef>
              <c:f>'For Patient'!$J$66:$J$68</c:f>
              <c:numCache>
                <c:formatCode>General</c:formatCode>
                <c:ptCount val="3"/>
                <c:pt idx="0">
                  <c:v>0</c:v>
                </c:pt>
                <c:pt idx="1">
                  <c:v>0</c:v>
                </c:pt>
                <c:pt idx="2">
                  <c:v>0</c:v>
                </c:pt>
              </c:numCache>
            </c:numRef>
          </c:val>
        </c:ser>
        <c:dLbls>
          <c:showLegendKey val="0"/>
          <c:showVal val="0"/>
          <c:showCatName val="0"/>
          <c:showSerName val="0"/>
          <c:showPercent val="0"/>
          <c:showBubbleSize val="0"/>
        </c:dLbls>
        <c:axId val="1100379904"/>
        <c:axId val="1100379360"/>
      </c:areaChart>
      <c:barChart>
        <c:barDir val="col"/>
        <c:grouping val="clustered"/>
        <c:varyColors val="0"/>
        <c:ser>
          <c:idx val="0"/>
          <c:order val="0"/>
          <c:tx>
            <c:strRef>
              <c:f>'For Patient'!$H$65</c:f>
              <c:strCache>
                <c:ptCount val="1"/>
                <c:pt idx="0">
                  <c:v>Actual</c:v>
                </c:pt>
              </c:strCache>
            </c:strRef>
          </c:tx>
          <c:spPr>
            <a:solidFill>
              <a:srgbClr val="FF0000"/>
            </a:solidFill>
            <a:ln>
              <a:noFill/>
            </a:ln>
            <a:effectLst/>
          </c:spPr>
          <c:invertIfNegative val="0"/>
          <c:dPt>
            <c:idx val="0"/>
            <c:invertIfNegative val="0"/>
            <c:bubble3D val="0"/>
            <c:spPr>
              <a:solidFill>
                <a:srgbClr val="002060"/>
              </a:solidFill>
              <a:ln>
                <a:noFill/>
              </a:ln>
              <a:effectLst/>
            </c:spPr>
          </c:dPt>
          <c:dPt>
            <c:idx val="1"/>
            <c:invertIfNegative val="0"/>
            <c:bubble3D val="0"/>
            <c:spPr>
              <a:solidFill>
                <a:schemeClr val="accent5"/>
              </a:solidFill>
              <a:ln>
                <a:noFill/>
              </a:ln>
              <a:effectLst/>
            </c:spPr>
          </c:dPt>
          <c:dPt>
            <c:idx val="2"/>
            <c:invertIfNegative val="0"/>
            <c:bubble3D val="0"/>
            <c:spPr>
              <a:solidFill>
                <a:srgbClr val="7030A0"/>
              </a:solidFill>
              <a:ln>
                <a:noFill/>
              </a:ln>
              <a:effectLst/>
            </c:spPr>
          </c:dPt>
          <c:cat>
            <c:strRef>
              <c:f>'For Patient'!$G$66:$G$68</c:f>
              <c:strCache>
                <c:ptCount val="3"/>
                <c:pt idx="0">
                  <c:v>Total</c:v>
                </c:pt>
                <c:pt idx="1">
                  <c:v>PN</c:v>
                </c:pt>
                <c:pt idx="2">
                  <c:v>EN</c:v>
                </c:pt>
              </c:strCache>
            </c:strRef>
          </c:cat>
          <c:val>
            <c:numRef>
              <c:f>'For Patient'!$H$66:$H$68</c:f>
              <c:numCache>
                <c:formatCode>General</c:formatCode>
                <c:ptCount val="3"/>
                <c:pt idx="0">
                  <c:v>0</c:v>
                </c:pt>
                <c:pt idx="1">
                  <c:v>0</c:v>
                </c:pt>
                <c:pt idx="2">
                  <c:v>0</c:v>
                </c:pt>
              </c:numCache>
            </c:numRef>
          </c:val>
        </c:ser>
        <c:dLbls>
          <c:showLegendKey val="0"/>
          <c:showVal val="0"/>
          <c:showCatName val="0"/>
          <c:showSerName val="0"/>
          <c:showPercent val="0"/>
          <c:showBubbleSize val="0"/>
        </c:dLbls>
        <c:gapWidth val="38"/>
        <c:axId val="1100378816"/>
        <c:axId val="1100373920"/>
      </c:barChart>
      <c:catAx>
        <c:axId val="110037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3920"/>
        <c:crosses val="autoZero"/>
        <c:auto val="1"/>
        <c:lblAlgn val="ctr"/>
        <c:lblOffset val="100"/>
        <c:noMultiLvlLbl val="0"/>
      </c:catAx>
      <c:valAx>
        <c:axId val="1100373920"/>
        <c:scaling>
          <c:orientation val="minMax"/>
          <c:max val="1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8816"/>
        <c:crosses val="autoZero"/>
        <c:crossBetween val="between"/>
      </c:valAx>
      <c:valAx>
        <c:axId val="1100379360"/>
        <c:scaling>
          <c:orientation val="minMax"/>
          <c:max val="140"/>
        </c:scaling>
        <c:delete val="1"/>
        <c:axPos val="r"/>
        <c:numFmt formatCode="General" sourceLinked="1"/>
        <c:majorTickMark val="none"/>
        <c:minorTickMark val="none"/>
        <c:tickLblPos val="nextTo"/>
        <c:crossAx val="1100379904"/>
        <c:crosses val="max"/>
        <c:crossBetween val="midCat"/>
      </c:valAx>
      <c:catAx>
        <c:axId val="1100379904"/>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9360"/>
        <c:crosses val="autoZero"/>
        <c:auto val="1"/>
        <c:lblAlgn val="ctr"/>
        <c:lblOffset val="100"/>
        <c:noMultiLvlLbl val="0"/>
      </c:catAx>
      <c:spPr>
        <a:noFill/>
        <a:ln>
          <a:noFill/>
        </a:ln>
        <a:effectLst/>
      </c:spPr>
    </c:plotArea>
    <c:plotVisOnly val="1"/>
    <c:dispBlanksAs val="zero"/>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2"/>
              </a:solidFill>
              <a:round/>
            </a:ln>
            <a:effectLst/>
          </c:spPr>
          <c:marker>
            <c:symbol val="none"/>
          </c:marker>
          <c:cat>
            <c:strRef>
              <c:f>Database!$Z$51:$AJ$51</c:f>
              <c:strCache>
                <c:ptCount val="11"/>
                <c:pt idx="0">
                  <c:v>Vitamin A
(μg)</c:v>
                </c:pt>
                <c:pt idx="1">
                  <c:v>Vitamin E
(mg)</c:v>
                </c:pt>
                <c:pt idx="2">
                  <c:v>Vitamin D
(μg)</c:v>
                </c:pt>
                <c:pt idx="3">
                  <c:v>Vitamin K
(μg)</c:v>
                </c:pt>
                <c:pt idx="4">
                  <c:v>Vitamin B1
(mg)</c:v>
                </c:pt>
                <c:pt idx="5">
                  <c:v>Vitamin B2
(mg)</c:v>
                </c:pt>
                <c:pt idx="6">
                  <c:v>Niacin
(mg)</c:v>
                </c:pt>
                <c:pt idx="7">
                  <c:v>Vitamin B6
(mg)</c:v>
                </c:pt>
                <c:pt idx="8">
                  <c:v>Vitamin B12
(μg)</c:v>
                </c:pt>
                <c:pt idx="9">
                  <c:v>Folic Acid
(μg)</c:v>
                </c:pt>
                <c:pt idx="10">
                  <c:v>Vitamin C
(mg)</c:v>
                </c:pt>
              </c:strCache>
            </c:strRef>
          </c:cat>
          <c:val>
            <c:numRef>
              <c:f>Database!$Z$52:$AJ$52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axId val="1100370656"/>
        <c:axId val="1100378272"/>
      </c:radarChart>
      <c:catAx>
        <c:axId val="110037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8272"/>
        <c:crosses val="autoZero"/>
        <c:auto val="1"/>
        <c:lblAlgn val="ctr"/>
        <c:lblOffset val="100"/>
        <c:noMultiLvlLbl val="0"/>
      </c:catAx>
      <c:valAx>
        <c:axId val="110037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70656"/>
        <c:crosses val="autoZero"/>
        <c:crossBetween val="between"/>
      </c:valAx>
      <c:spPr>
        <a:noFill/>
        <a:ln>
          <a:noFill/>
        </a:ln>
        <a:effectLst/>
      </c:spPr>
    </c:plotArea>
    <c:plotVisOnly val="1"/>
    <c:dispBlanksAs val="gap"/>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Database!$K$51:$S$51</c:f>
              <c:strCache>
                <c:ptCount val="9"/>
                <c:pt idx="0">
                  <c:v>Sodium
(mg)</c:v>
                </c:pt>
                <c:pt idx="1">
                  <c:v>Potassium
(mg)</c:v>
                </c:pt>
                <c:pt idx="2">
                  <c:v>Chloride
(mg)</c:v>
                </c:pt>
                <c:pt idx="3">
                  <c:v>Calcium
(mg)</c:v>
                </c:pt>
                <c:pt idx="4">
                  <c:v>Magnesium
(mg)</c:v>
                </c:pt>
                <c:pt idx="5">
                  <c:v>Phosphorous
(mg)</c:v>
                </c:pt>
                <c:pt idx="6">
                  <c:v>Iron
(mg)</c:v>
                </c:pt>
                <c:pt idx="7">
                  <c:v>Zinc
(mg)</c:v>
                </c:pt>
                <c:pt idx="8">
                  <c:v>Iodine
(μg)</c:v>
                </c:pt>
              </c:strCache>
            </c:strRef>
          </c:cat>
          <c:val>
            <c:numRef>
              <c:f>Database!$K$52:$S$52</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1100380448"/>
        <c:axId val="1100380992"/>
      </c:radarChart>
      <c:catAx>
        <c:axId val="110038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80992"/>
        <c:crosses val="autoZero"/>
        <c:auto val="1"/>
        <c:lblAlgn val="ctr"/>
        <c:lblOffset val="100"/>
        <c:noMultiLvlLbl val="0"/>
      </c:catAx>
      <c:valAx>
        <c:axId val="1100380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80448"/>
        <c:crosses val="autoZero"/>
        <c:crossBetween val="between"/>
      </c:valAx>
      <c:spPr>
        <a:noFill/>
        <a:ln>
          <a:noFill/>
        </a:ln>
        <a:effectLst/>
      </c:spPr>
    </c:plotArea>
    <c:plotVisOnly val="1"/>
    <c:dispBlanksAs val="gap"/>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2"/>
              </a:solidFill>
              <a:round/>
            </a:ln>
            <a:effectLst/>
          </c:spPr>
          <c:marker>
            <c:symbol val="none"/>
          </c:marker>
          <c:cat>
            <c:strRef>
              <c:f>Database!$Z$51:$AJ$51</c:f>
              <c:strCache>
                <c:ptCount val="11"/>
                <c:pt idx="0">
                  <c:v>Vitamin A
(μg)</c:v>
                </c:pt>
                <c:pt idx="1">
                  <c:v>Vitamin E
(mg)</c:v>
                </c:pt>
                <c:pt idx="2">
                  <c:v>Vitamin D
(μg)</c:v>
                </c:pt>
                <c:pt idx="3">
                  <c:v>Vitamin K
(μg)</c:v>
                </c:pt>
                <c:pt idx="4">
                  <c:v>Vitamin B1
(mg)</c:v>
                </c:pt>
                <c:pt idx="5">
                  <c:v>Vitamin B2
(mg)</c:v>
                </c:pt>
                <c:pt idx="6">
                  <c:v>Niacin
(mg)</c:v>
                </c:pt>
                <c:pt idx="7">
                  <c:v>Vitamin B6
(mg)</c:v>
                </c:pt>
                <c:pt idx="8">
                  <c:v>Vitamin B12
(μg)</c:v>
                </c:pt>
                <c:pt idx="9">
                  <c:v>Folic Acid
(μg)</c:v>
                </c:pt>
                <c:pt idx="10">
                  <c:v>Vitamin C
(mg)</c:v>
                </c:pt>
              </c:strCache>
            </c:strRef>
          </c:cat>
          <c:val>
            <c:numRef>
              <c:f>Database!$Z$52:$AJ$52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axId val="1100381536"/>
        <c:axId val="1100382080"/>
      </c:radarChart>
      <c:catAx>
        <c:axId val="1100381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82080"/>
        <c:crosses val="autoZero"/>
        <c:auto val="1"/>
        <c:lblAlgn val="ctr"/>
        <c:lblOffset val="100"/>
        <c:noMultiLvlLbl val="0"/>
      </c:catAx>
      <c:valAx>
        <c:axId val="1100382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1100381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jpeg"/><Relationship Id="rId13" Type="http://schemas.openxmlformats.org/officeDocument/2006/relationships/image" Target="../media/image9.png"/><Relationship Id="rId3" Type="http://schemas.openxmlformats.org/officeDocument/2006/relationships/chart" Target="../charts/chart3.xml"/><Relationship Id="rId7" Type="http://schemas.openxmlformats.org/officeDocument/2006/relationships/image" Target="../media/image3.png"/><Relationship Id="rId12" Type="http://schemas.openxmlformats.org/officeDocument/2006/relationships/image" Target="../media/image8.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11" Type="http://schemas.openxmlformats.org/officeDocument/2006/relationships/image" Target="../media/image7.png"/><Relationship Id="rId5" Type="http://schemas.openxmlformats.org/officeDocument/2006/relationships/image" Target="../media/image1.jpeg"/><Relationship Id="rId10" Type="http://schemas.openxmlformats.org/officeDocument/2006/relationships/image" Target="../media/image6.png"/><Relationship Id="rId4" Type="http://schemas.openxmlformats.org/officeDocument/2006/relationships/chart" Target="../charts/chart4.xml"/><Relationship Id="rId9" Type="http://schemas.openxmlformats.org/officeDocument/2006/relationships/image" Target="../media/image5.jpeg"/><Relationship Id="rId14" Type="http://schemas.openxmlformats.org/officeDocument/2006/relationships/image" Target="../media/image10.png"/></Relationships>
</file>

<file path=xl/drawings/_rels/drawing2.xml.rels><?xml version="1.0" encoding="UTF-8" standalone="yes"?>
<Relationships xmlns="http://schemas.openxmlformats.org/package/2006/relationships"><Relationship Id="rId8" Type="http://schemas.openxmlformats.org/officeDocument/2006/relationships/image" Target="../media/image14.jpeg"/><Relationship Id="rId3" Type="http://schemas.openxmlformats.org/officeDocument/2006/relationships/chart" Target="../charts/chart7.xml"/><Relationship Id="rId7" Type="http://schemas.openxmlformats.org/officeDocument/2006/relationships/image" Target="../media/image13.pn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12.jpeg"/><Relationship Id="rId5" Type="http://schemas.openxmlformats.org/officeDocument/2006/relationships/image" Target="../media/image11.jpeg"/><Relationship Id="rId10" Type="http://schemas.openxmlformats.org/officeDocument/2006/relationships/image" Target="../media/image16.png"/><Relationship Id="rId4" Type="http://schemas.openxmlformats.org/officeDocument/2006/relationships/chart" Target="../charts/chart8.xml"/><Relationship Id="rId9" Type="http://schemas.openxmlformats.org/officeDocument/2006/relationships/image" Target="../media/image15.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9526</xdr:colOff>
      <xdr:row>31</xdr:row>
      <xdr:rowOff>28223</xdr:rowOff>
    </xdr:from>
    <xdr:to>
      <xdr:col>4</xdr:col>
      <xdr:colOff>39688</xdr:colOff>
      <xdr:row>52</xdr:row>
      <xdr:rowOff>117928</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592666</xdr:colOff>
      <xdr:row>31</xdr:row>
      <xdr:rowOff>28224</xdr:rowOff>
    </xdr:from>
    <xdr:to>
      <xdr:col>9</xdr:col>
      <xdr:colOff>7938</xdr:colOff>
      <xdr:row>52</xdr:row>
      <xdr:rowOff>145143</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658813</xdr:colOff>
      <xdr:row>55</xdr:row>
      <xdr:rowOff>57325</xdr:rowOff>
    </xdr:from>
    <xdr:to>
      <xdr:col>11</xdr:col>
      <xdr:colOff>161396</xdr:colOff>
      <xdr:row>72</xdr:row>
      <xdr:rowOff>141993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29105</xdr:colOff>
      <xdr:row>55</xdr:row>
      <xdr:rowOff>52919</xdr:rowOff>
    </xdr:from>
    <xdr:to>
      <xdr:col>5</xdr:col>
      <xdr:colOff>410104</xdr:colOff>
      <xdr:row>72</xdr:row>
      <xdr:rowOff>142878</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11</xdr:col>
      <xdr:colOff>716642</xdr:colOff>
      <xdr:row>79</xdr:row>
      <xdr:rowOff>99783</xdr:rowOff>
    </xdr:from>
    <xdr:to>
      <xdr:col>12</xdr:col>
      <xdr:colOff>431132</xdr:colOff>
      <xdr:row>84</xdr:row>
      <xdr:rowOff>108857</xdr:rowOff>
    </xdr:to>
    <xdr:pic>
      <xdr:nvPicPr>
        <xdr:cNvPr id="31" name="Picture 2" descr="関連画像"/>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508999" y="14468926"/>
          <a:ext cx="576276" cy="916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516710</xdr:colOff>
      <xdr:row>79</xdr:row>
      <xdr:rowOff>75290</xdr:rowOff>
    </xdr:from>
    <xdr:to>
      <xdr:col>16</xdr:col>
      <xdr:colOff>360132</xdr:colOff>
      <xdr:row>84</xdr:row>
      <xdr:rowOff>145143</xdr:rowOff>
    </xdr:to>
    <xdr:pic>
      <xdr:nvPicPr>
        <xdr:cNvPr id="32" name="Picture 2" descr="クリックすると新しいウィンドウで開きます"/>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26344" r="28811"/>
        <a:stretch/>
      </xdr:blipFill>
      <xdr:spPr bwMode="auto">
        <a:xfrm>
          <a:off x="10994210" y="14444433"/>
          <a:ext cx="451208" cy="976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432705</xdr:colOff>
      <xdr:row>87</xdr:row>
      <xdr:rowOff>92065</xdr:rowOff>
    </xdr:from>
    <xdr:to>
      <xdr:col>16</xdr:col>
      <xdr:colOff>483504</xdr:colOff>
      <xdr:row>92</xdr:row>
      <xdr:rowOff>153020</xdr:rowOff>
    </xdr:to>
    <xdr:pic>
      <xdr:nvPicPr>
        <xdr:cNvPr id="33" name="Picture 8" descr="https://ord.yahoo.co.jp/o/image/RV=1/RE=1492759767/RH=b3JkLnlhaG9vLmNvLmpw/RB=/RU=aHR0cHM6Ly93d3cucm9zZXBoYXJtYWN5LmNvbS9yb3NlZmlsZXMvd3AtY29udGVudC91cGxvYWRzLzIwMTYvMTAvOTkwMy0xOTB4MjQzLnBuZw--/RS=%5EADBBD_PwUo84k1zjdNv1ZLCGaMZ3jE-;_ylc=X3IDMgRmc3QDMARpZHgDMARvaWQDQU5kOUdjUlo1dFhDZGQ3XzJpQ1FPN2xrOVN6Q1FsRWJHcy1iSl82c2lodDZWaHNHMzVQTUxMd25QX1o4SVpRBHADUVcxcGJtOXNaV0poYmlCUGNtRnNJRkJvYVd4cGNIQnBibVZ6BHBvcwMxMgRzZWMDc2h3BHNsawNyaQ--"/>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501" r="9787" b="6084"/>
        <a:stretch/>
      </xdr:blipFill>
      <xdr:spPr bwMode="auto">
        <a:xfrm>
          <a:off x="10910205" y="15767494"/>
          <a:ext cx="658585" cy="968098"/>
        </a:xfrm>
        <a:prstGeom prst="rect">
          <a:avLst/>
        </a:prstGeom>
        <a:noFill/>
        <a:ln w="19050">
          <a:noFill/>
          <a:prstDash val="sysDash"/>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430435</xdr:colOff>
      <xdr:row>88</xdr:row>
      <xdr:rowOff>67345</xdr:rowOff>
    </xdr:from>
    <xdr:to>
      <xdr:col>14</xdr:col>
      <xdr:colOff>399144</xdr:colOff>
      <xdr:row>92</xdr:row>
      <xdr:rowOff>136074</xdr:rowOff>
    </xdr:to>
    <xdr:pic>
      <xdr:nvPicPr>
        <xdr:cNvPr id="34" name="Picture 4" descr="「tna peri」の画像検索結果"/>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t="3581"/>
        <a:stretch/>
      </xdr:blipFill>
      <xdr:spPr bwMode="auto">
        <a:xfrm>
          <a:off x="9692364" y="16958345"/>
          <a:ext cx="576494" cy="794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449031</xdr:colOff>
      <xdr:row>79</xdr:row>
      <xdr:rowOff>106603</xdr:rowOff>
    </xdr:from>
    <xdr:to>
      <xdr:col>18</xdr:col>
      <xdr:colOff>539747</xdr:colOff>
      <xdr:row>84</xdr:row>
      <xdr:rowOff>129728</xdr:rowOff>
    </xdr:to>
    <xdr:pic>
      <xdr:nvPicPr>
        <xdr:cNvPr id="35" name="Picture 17" descr="images (1).jpg"/>
        <xdr:cNvPicPr>
          <a:picLocks noChangeAspect="1"/>
        </xdr:cNvPicPr>
      </xdr:nvPicPr>
      <xdr:blipFill>
        <a:blip xmlns:r="http://schemas.openxmlformats.org/officeDocument/2006/relationships" r:embed="rId9" cstate="print"/>
        <a:stretch>
          <a:fillRect/>
        </a:stretch>
      </xdr:blipFill>
      <xdr:spPr>
        <a:xfrm>
          <a:off x="12142102" y="14475746"/>
          <a:ext cx="698501" cy="930268"/>
        </a:xfrm>
        <a:prstGeom prst="rect">
          <a:avLst/>
        </a:prstGeom>
      </xdr:spPr>
    </xdr:pic>
    <xdr:clientData/>
  </xdr:twoCellAnchor>
  <xdr:twoCellAnchor editAs="oneCell">
    <xdr:from>
      <xdr:col>17</xdr:col>
      <xdr:colOff>498924</xdr:colOff>
      <xdr:row>87</xdr:row>
      <xdr:rowOff>95515</xdr:rowOff>
    </xdr:from>
    <xdr:to>
      <xdr:col>18</xdr:col>
      <xdr:colOff>408214</xdr:colOff>
      <xdr:row>92</xdr:row>
      <xdr:rowOff>98642</xdr:rowOff>
    </xdr:to>
    <xdr:pic>
      <xdr:nvPicPr>
        <xdr:cNvPr id="36" name="Picture 7"/>
        <xdr:cNvPicPr>
          <a:picLocks noChangeAspect="1"/>
        </xdr:cNvPicPr>
      </xdr:nvPicPr>
      <xdr:blipFill rotWithShape="1">
        <a:blip xmlns:r="http://schemas.openxmlformats.org/officeDocument/2006/relationships" r:embed="rId10"/>
        <a:srcRect l="8943" t="11563" r="79314" b="59449"/>
        <a:stretch/>
      </xdr:blipFill>
      <xdr:spPr>
        <a:xfrm>
          <a:off x="12191995" y="15770944"/>
          <a:ext cx="517075" cy="910270"/>
        </a:xfrm>
        <a:prstGeom prst="rect">
          <a:avLst/>
        </a:prstGeom>
      </xdr:spPr>
    </xdr:pic>
    <xdr:clientData/>
  </xdr:twoCellAnchor>
  <xdr:twoCellAnchor editAs="oneCell">
    <xdr:from>
      <xdr:col>19</xdr:col>
      <xdr:colOff>480785</xdr:colOff>
      <xdr:row>79</xdr:row>
      <xdr:rowOff>132500</xdr:rowOff>
    </xdr:from>
    <xdr:to>
      <xdr:col>20</xdr:col>
      <xdr:colOff>444499</xdr:colOff>
      <xdr:row>84</xdr:row>
      <xdr:rowOff>132502</xdr:rowOff>
    </xdr:to>
    <xdr:pic>
      <xdr:nvPicPr>
        <xdr:cNvPr id="37" name="Picture 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3389428" y="14501643"/>
          <a:ext cx="571500" cy="907145"/>
        </a:xfrm>
        <a:prstGeom prst="rect">
          <a:avLst/>
        </a:prstGeom>
        <a:noFill/>
        <a:ln w="19050">
          <a:noFill/>
          <a:prstDash val="sysDash"/>
          <a:miter lim="800000"/>
          <a:headEnd/>
          <a:tailEnd/>
        </a:ln>
        <a:extLst>
          <a:ext uri="{909E8E84-426E-40DD-AFC4-6F175D3DCCD1}">
            <a14:hiddenFill xmlns:a14="http://schemas.microsoft.com/office/drawing/2010/main">
              <a:solidFill>
                <a:schemeClr val="accent1"/>
              </a:solidFill>
            </a14:hiddenFill>
          </a:ext>
        </a:extLst>
      </xdr:spPr>
    </xdr:pic>
    <xdr:clientData/>
  </xdr:twoCellAnchor>
  <xdr:twoCellAnchor editAs="oneCell">
    <xdr:from>
      <xdr:col>19</xdr:col>
      <xdr:colOff>462644</xdr:colOff>
      <xdr:row>87</xdr:row>
      <xdr:rowOff>116158</xdr:rowOff>
    </xdr:from>
    <xdr:to>
      <xdr:col>20</xdr:col>
      <xdr:colOff>539194</xdr:colOff>
      <xdr:row>93</xdr:row>
      <xdr:rowOff>19042</xdr:rowOff>
    </xdr:to>
    <xdr:pic>
      <xdr:nvPicPr>
        <xdr:cNvPr id="38" name="Picture 1"/>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4998" t="19976" r="23577" b="16782"/>
        <a:stretch/>
      </xdr:blipFill>
      <xdr:spPr>
        <a:xfrm>
          <a:off x="13416644" y="16825729"/>
          <a:ext cx="684336" cy="991456"/>
        </a:xfrm>
        <a:prstGeom prst="rect">
          <a:avLst/>
        </a:prstGeom>
      </xdr:spPr>
    </xdr:pic>
    <xdr:clientData/>
  </xdr:twoCellAnchor>
  <xdr:twoCellAnchor editAs="oneCell">
    <xdr:from>
      <xdr:col>13</xdr:col>
      <xdr:colOff>386892</xdr:colOff>
      <xdr:row>80</xdr:row>
      <xdr:rowOff>18145</xdr:rowOff>
    </xdr:from>
    <xdr:to>
      <xdr:col>14</xdr:col>
      <xdr:colOff>295886</xdr:colOff>
      <xdr:row>84</xdr:row>
      <xdr:rowOff>7610</xdr:rowOff>
    </xdr:to>
    <xdr:pic>
      <xdr:nvPicPr>
        <xdr:cNvPr id="39" name="図 38"/>
        <xdr:cNvPicPr>
          <a:picLocks noChangeAspect="1"/>
        </xdr:cNvPicPr>
      </xdr:nvPicPr>
      <xdr:blipFill>
        <a:blip xmlns:r="http://schemas.openxmlformats.org/officeDocument/2006/relationships" r:embed="rId13"/>
        <a:stretch>
          <a:fillRect/>
        </a:stretch>
      </xdr:blipFill>
      <xdr:spPr>
        <a:xfrm>
          <a:off x="9648821" y="15457716"/>
          <a:ext cx="516779" cy="715180"/>
        </a:xfrm>
        <a:prstGeom prst="rect">
          <a:avLst/>
        </a:prstGeom>
      </xdr:spPr>
    </xdr:pic>
    <xdr:clientData/>
  </xdr:twoCellAnchor>
  <xdr:twoCellAnchor editAs="oneCell">
    <xdr:from>
      <xdr:col>11</xdr:col>
      <xdr:colOff>562427</xdr:colOff>
      <xdr:row>87</xdr:row>
      <xdr:rowOff>9070</xdr:rowOff>
    </xdr:from>
    <xdr:to>
      <xdr:col>13</xdr:col>
      <xdr:colOff>132275</xdr:colOff>
      <xdr:row>94</xdr:row>
      <xdr:rowOff>1</xdr:rowOff>
    </xdr:to>
    <xdr:pic>
      <xdr:nvPicPr>
        <xdr:cNvPr id="40" name="Picture 3" descr="A picture containing food&#10;&#10;Description automatically generated">
          <a:extLst>
            <a:ext uri="{FF2B5EF4-FFF2-40B4-BE49-F238E27FC236}">
              <a16:creationId xmlns:r="http://schemas.openxmlformats.org/officeDocument/2006/relationships" xmlns:p="http://schemas.openxmlformats.org/presentationml/2006/main" xmlns="" xmlns:a16="http://schemas.microsoft.com/office/drawing/2014/main" xmlns:lc="http://schemas.openxmlformats.org/drawingml/2006/lockedCanvas" id="{3574E68F-7E05-4A62-8BB3-69029BB838C7}"/>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8354784" y="15684499"/>
          <a:ext cx="1039420" cy="12609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827087</xdr:colOff>
      <xdr:row>4</xdr:row>
      <xdr:rowOff>-1</xdr:rowOff>
    </xdr:from>
    <xdr:to>
      <xdr:col>14</xdr:col>
      <xdr:colOff>484187</xdr:colOff>
      <xdr:row>19</xdr:row>
      <xdr:rowOff>158749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291041</xdr:colOff>
      <xdr:row>4</xdr:row>
      <xdr:rowOff>0</xdr:rowOff>
    </xdr:from>
    <xdr:to>
      <xdr:col>21</xdr:col>
      <xdr:colOff>547688</xdr:colOff>
      <xdr:row>19</xdr:row>
      <xdr:rowOff>150812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863425</xdr:colOff>
      <xdr:row>22</xdr:row>
      <xdr:rowOff>62617</xdr:rowOff>
    </xdr:from>
    <xdr:to>
      <xdr:col>14</xdr:col>
      <xdr:colOff>539749</xdr:colOff>
      <xdr:row>39</xdr:row>
      <xdr:rowOff>99660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348372</xdr:colOff>
      <xdr:row>22</xdr:row>
      <xdr:rowOff>44981</xdr:rowOff>
    </xdr:from>
    <xdr:to>
      <xdr:col>21</xdr:col>
      <xdr:colOff>587377</xdr:colOff>
      <xdr:row>39</xdr:row>
      <xdr:rowOff>87315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388937</xdr:colOff>
      <xdr:row>34</xdr:row>
      <xdr:rowOff>106091</xdr:rowOff>
    </xdr:from>
    <xdr:to>
      <xdr:col>1</xdr:col>
      <xdr:colOff>404812</xdr:colOff>
      <xdr:row>40</xdr:row>
      <xdr:rowOff>156423</xdr:rowOff>
    </xdr:to>
    <xdr:pic>
      <xdr:nvPicPr>
        <xdr:cNvPr id="8" name="図 7" descr="Mercury Drug partners with Enchanted Kingdom for special ..."/>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49875"/>
        <a:stretch/>
      </xdr:blipFill>
      <xdr:spPr bwMode="auto">
        <a:xfrm>
          <a:off x="388937" y="6432279"/>
          <a:ext cx="928688" cy="1050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150812</xdr:colOff>
      <xdr:row>23</xdr:row>
      <xdr:rowOff>22777</xdr:rowOff>
    </xdr:from>
    <xdr:to>
      <xdr:col>6</xdr:col>
      <xdr:colOff>428625</xdr:colOff>
      <xdr:row>25</xdr:row>
      <xdr:rowOff>23812</xdr:rowOff>
    </xdr:to>
    <xdr:pic>
      <xdr:nvPicPr>
        <xdr:cNvPr id="14" name="図 13" descr="logo"/>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44155" b="47314"/>
        <a:stretch/>
      </xdr:blipFill>
      <xdr:spPr bwMode="auto">
        <a:xfrm>
          <a:off x="2286000" y="4515402"/>
          <a:ext cx="2111375" cy="334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127001</xdr:colOff>
      <xdr:row>25</xdr:row>
      <xdr:rowOff>160406</xdr:rowOff>
    </xdr:from>
    <xdr:to>
      <xdr:col>6</xdr:col>
      <xdr:colOff>428627</xdr:colOff>
      <xdr:row>29</xdr:row>
      <xdr:rowOff>96016</xdr:rowOff>
    </xdr:to>
    <xdr:pic>
      <xdr:nvPicPr>
        <xdr:cNvPr id="15" name="図 14" descr="Lazada, GroupM team up to boost brands under LazMall"/>
        <xdr:cNvPicPr>
          <a:picLocks noChangeAspect="1" noChangeArrowheads="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32122" b="10742"/>
        <a:stretch/>
      </xdr:blipFill>
      <xdr:spPr bwMode="auto">
        <a:xfrm>
          <a:off x="2262189" y="4986406"/>
          <a:ext cx="2135188" cy="602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190500</xdr:colOff>
      <xdr:row>34</xdr:row>
      <xdr:rowOff>126999</xdr:rowOff>
    </xdr:from>
    <xdr:to>
      <xdr:col>6</xdr:col>
      <xdr:colOff>225871</xdr:colOff>
      <xdr:row>40</xdr:row>
      <xdr:rowOff>76996</xdr:rowOff>
    </xdr:to>
    <xdr:pic>
      <xdr:nvPicPr>
        <xdr:cNvPr id="17" name="図 16" descr="無料イラスト] コールセンターのアイコン - パブリックドメインQ：著作 ..."/>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548063" y="6453187"/>
          <a:ext cx="646558" cy="950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304800</xdr:colOff>
      <xdr:row>29</xdr:row>
      <xdr:rowOff>139700</xdr:rowOff>
    </xdr:to>
    <xdr:sp macro="" textlink="">
      <xdr:nvSpPr>
        <xdr:cNvPr id="5134" name="AutoShape 14" descr="QRコード作成【無料】／QRのススメ"/>
        <xdr:cNvSpPr>
          <a:spLocks noChangeAspect="1" noChangeArrowheads="1"/>
        </xdr:cNvSpPr>
      </xdr:nvSpPr>
      <xdr:spPr bwMode="auto">
        <a:xfrm>
          <a:off x="0" y="5353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254000</xdr:colOff>
      <xdr:row>23</xdr:row>
      <xdr:rowOff>100373</xdr:rowOff>
    </xdr:from>
    <xdr:to>
      <xdr:col>2</xdr:col>
      <xdr:colOff>63500</xdr:colOff>
      <xdr:row>31</xdr:row>
      <xdr:rowOff>112712</xdr:rowOff>
    </xdr:to>
    <xdr:pic>
      <xdr:nvPicPr>
        <xdr:cNvPr id="20" name="図 19" descr="QRコード作成【無料】／QRのススメ"/>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000" y="4592998"/>
          <a:ext cx="1333500" cy="1345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15875</xdr:colOff>
      <xdr:row>23</xdr:row>
      <xdr:rowOff>39687</xdr:rowOff>
    </xdr:from>
    <xdr:to>
      <xdr:col>8</xdr:col>
      <xdr:colOff>261938</xdr:colOff>
      <xdr:row>30</xdr:row>
      <xdr:rowOff>31501</xdr:rowOff>
    </xdr:to>
    <xdr:pic>
      <xdr:nvPicPr>
        <xdr:cNvPr id="6" name="図 5"/>
        <xdr:cNvPicPr>
          <a:picLocks noChangeAspect="1"/>
        </xdr:cNvPicPr>
      </xdr:nvPicPr>
      <xdr:blipFill rotWithShape="1">
        <a:blip xmlns:r="http://schemas.openxmlformats.org/officeDocument/2006/relationships" r:embed="rId10"/>
        <a:srcRect l="23916" t="13240" r="29701" b="20922"/>
        <a:stretch/>
      </xdr:blipFill>
      <xdr:spPr>
        <a:xfrm>
          <a:off x="4595813" y="4532312"/>
          <a:ext cx="857250" cy="11586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57149</xdr:colOff>
      <xdr:row>52</xdr:row>
      <xdr:rowOff>127000</xdr:rowOff>
    </xdr:from>
    <xdr:to>
      <xdr:col>29</xdr:col>
      <xdr:colOff>320674</xdr:colOff>
      <xdr:row>66</xdr:row>
      <xdr:rowOff>127000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539749</xdr:colOff>
      <xdr:row>53</xdr:row>
      <xdr:rowOff>6350</xdr:rowOff>
    </xdr:from>
    <xdr:to>
      <xdr:col>19</xdr:col>
      <xdr:colOff>498474</xdr:colOff>
      <xdr:row>66</xdr:row>
      <xdr:rowOff>171450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69273</xdr:colOff>
      <xdr:row>3</xdr:row>
      <xdr:rowOff>63500</xdr:rowOff>
    </xdr:from>
    <xdr:to>
      <xdr:col>2</xdr:col>
      <xdr:colOff>259773</xdr:colOff>
      <xdr:row>3</xdr:row>
      <xdr:rowOff>213591</xdr:rowOff>
    </xdr:to>
    <xdr:sp macro="" textlink="">
      <xdr:nvSpPr>
        <xdr:cNvPr id="2" name="Rectangle 1"/>
        <xdr:cNvSpPr/>
      </xdr:nvSpPr>
      <xdr:spPr>
        <a:xfrm>
          <a:off x="1864591" y="508000"/>
          <a:ext cx="190500" cy="15009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PH" sz="1100"/>
        </a:p>
      </xdr:txBody>
    </xdr:sp>
    <xdr:clientData/>
  </xdr:twoCellAnchor>
  <xdr:twoCellAnchor>
    <xdr:from>
      <xdr:col>4</xdr:col>
      <xdr:colOff>75045</xdr:colOff>
      <xdr:row>3</xdr:row>
      <xdr:rowOff>63500</xdr:rowOff>
    </xdr:from>
    <xdr:to>
      <xdr:col>4</xdr:col>
      <xdr:colOff>265545</xdr:colOff>
      <xdr:row>3</xdr:row>
      <xdr:rowOff>213591</xdr:rowOff>
    </xdr:to>
    <xdr:sp macro="" textlink="">
      <xdr:nvSpPr>
        <xdr:cNvPr id="3" name="Rectangle 2"/>
        <xdr:cNvSpPr/>
      </xdr:nvSpPr>
      <xdr:spPr>
        <a:xfrm>
          <a:off x="3094181" y="508000"/>
          <a:ext cx="190500" cy="15009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PH" sz="1100"/>
        </a:p>
      </xdr:txBody>
    </xdr:sp>
    <xdr:clientData/>
  </xdr:twoCellAnchor>
  <xdr:twoCellAnchor>
    <xdr:from>
      <xdr:col>2</xdr:col>
      <xdr:colOff>63500</xdr:colOff>
      <xdr:row>5</xdr:row>
      <xdr:rowOff>63500</xdr:rowOff>
    </xdr:from>
    <xdr:to>
      <xdr:col>2</xdr:col>
      <xdr:colOff>254000</xdr:colOff>
      <xdr:row>5</xdr:row>
      <xdr:rowOff>213591</xdr:rowOff>
    </xdr:to>
    <xdr:sp macro="" textlink="">
      <xdr:nvSpPr>
        <xdr:cNvPr id="4" name="Rectangle 3"/>
        <xdr:cNvSpPr/>
      </xdr:nvSpPr>
      <xdr:spPr>
        <a:xfrm>
          <a:off x="1858818" y="1016000"/>
          <a:ext cx="190500" cy="15009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PH" sz="1100"/>
        </a:p>
      </xdr:txBody>
    </xdr:sp>
    <xdr:clientData/>
  </xdr:twoCellAnchor>
  <xdr:twoCellAnchor>
    <xdr:from>
      <xdr:col>4</xdr:col>
      <xdr:colOff>69273</xdr:colOff>
      <xdr:row>5</xdr:row>
      <xdr:rowOff>69273</xdr:rowOff>
    </xdr:from>
    <xdr:to>
      <xdr:col>4</xdr:col>
      <xdr:colOff>259773</xdr:colOff>
      <xdr:row>5</xdr:row>
      <xdr:rowOff>219364</xdr:rowOff>
    </xdr:to>
    <xdr:sp macro="" textlink="">
      <xdr:nvSpPr>
        <xdr:cNvPr id="5" name="Rectangle 4"/>
        <xdr:cNvSpPr/>
      </xdr:nvSpPr>
      <xdr:spPr>
        <a:xfrm>
          <a:off x="3088409" y="1021773"/>
          <a:ext cx="190500" cy="15009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PH" sz="1100"/>
        </a:p>
      </xdr:txBody>
    </xdr:sp>
    <xdr:clientData/>
  </xdr:twoCellAnchor>
  <xdr:twoCellAnchor>
    <xdr:from>
      <xdr:col>6</xdr:col>
      <xdr:colOff>51954</xdr:colOff>
      <xdr:row>5</xdr:row>
      <xdr:rowOff>63500</xdr:rowOff>
    </xdr:from>
    <xdr:to>
      <xdr:col>6</xdr:col>
      <xdr:colOff>242454</xdr:colOff>
      <xdr:row>5</xdr:row>
      <xdr:rowOff>213591</xdr:rowOff>
    </xdr:to>
    <xdr:sp macro="" textlink="">
      <xdr:nvSpPr>
        <xdr:cNvPr id="6" name="Rectangle 5"/>
        <xdr:cNvSpPr/>
      </xdr:nvSpPr>
      <xdr:spPr>
        <a:xfrm>
          <a:off x="4294909" y="1016000"/>
          <a:ext cx="190500" cy="15009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PH" sz="1100"/>
        </a:p>
      </xdr:txBody>
    </xdr:sp>
    <xdr:clientData/>
  </xdr:twoCellAnchor>
  <xdr:twoCellAnchor>
    <xdr:from>
      <xdr:col>8</xdr:col>
      <xdr:colOff>51954</xdr:colOff>
      <xdr:row>5</xdr:row>
      <xdr:rowOff>63500</xdr:rowOff>
    </xdr:from>
    <xdr:to>
      <xdr:col>8</xdr:col>
      <xdr:colOff>242454</xdr:colOff>
      <xdr:row>5</xdr:row>
      <xdr:rowOff>213591</xdr:rowOff>
    </xdr:to>
    <xdr:sp macro="" textlink="">
      <xdr:nvSpPr>
        <xdr:cNvPr id="7" name="Rectangle 6"/>
        <xdr:cNvSpPr/>
      </xdr:nvSpPr>
      <xdr:spPr>
        <a:xfrm>
          <a:off x="5518727" y="1016000"/>
          <a:ext cx="190500" cy="150091"/>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PH"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6"/>
  <sheetViews>
    <sheetView zoomScale="70" zoomScaleNormal="70" workbookViewId="0">
      <selection activeCell="B6" sqref="B6"/>
    </sheetView>
  </sheetViews>
  <sheetFormatPr defaultRowHeight="14"/>
  <cols>
    <col min="1" max="1" width="13.08984375" style="38" customWidth="1"/>
    <col min="2" max="2" width="8.7265625" style="38"/>
    <col min="3" max="3" width="9.7265625" style="38" bestFit="1" customWidth="1"/>
    <col min="4" max="5" width="8.7265625" style="38"/>
    <col min="6" max="6" width="12.1796875" style="38" customWidth="1"/>
    <col min="7" max="7" width="8.7265625" style="38"/>
    <col min="8" max="9" width="9.7265625" style="38" customWidth="1"/>
    <col min="10" max="10" width="8.7265625" style="38"/>
    <col min="11" max="11" width="13.453125" style="38" customWidth="1"/>
    <col min="12" max="12" width="12.36328125" style="38" bestFit="1" customWidth="1"/>
    <col min="13" max="16" width="8.7265625" style="38"/>
    <col min="17" max="17" width="9.36328125" style="38" bestFit="1" customWidth="1"/>
    <col min="18" max="16384" width="8.7265625" style="38"/>
  </cols>
  <sheetData>
    <row r="1" spans="1:25" ht="25.5" thickBot="1">
      <c r="A1" s="159" t="s">
        <v>262</v>
      </c>
      <c r="B1" s="160"/>
      <c r="C1" s="161"/>
      <c r="D1" s="161"/>
      <c r="E1" s="161" t="s">
        <v>263</v>
      </c>
      <c r="F1" s="161"/>
      <c r="G1" s="161"/>
      <c r="H1" s="161"/>
      <c r="I1" s="161"/>
      <c r="J1" s="161"/>
      <c r="K1" s="161"/>
      <c r="L1" s="161"/>
      <c r="M1" s="161"/>
      <c r="N1" s="161"/>
      <c r="O1" s="161"/>
      <c r="P1" s="161"/>
      <c r="Q1" s="161"/>
      <c r="R1" s="161"/>
      <c r="S1" s="161"/>
      <c r="T1" s="161"/>
      <c r="U1" s="161"/>
      <c r="V1" s="161"/>
      <c r="W1" s="161"/>
      <c r="X1" s="161"/>
      <c r="Y1" s="161"/>
    </row>
    <row r="2" spans="1:25">
      <c r="A2" s="162" t="s">
        <v>176</v>
      </c>
      <c r="B2" s="163"/>
      <c r="C2" s="164"/>
      <c r="D2" s="165"/>
      <c r="E2" s="165"/>
      <c r="F2" s="165"/>
      <c r="G2" s="165"/>
      <c r="H2" s="165"/>
      <c r="I2" s="165"/>
      <c r="J2" s="165"/>
      <c r="K2" s="165"/>
      <c r="L2" s="165"/>
      <c r="M2" s="165"/>
      <c r="N2" s="165"/>
      <c r="O2" s="165"/>
      <c r="P2" s="165"/>
      <c r="Q2" s="165"/>
      <c r="R2" s="165"/>
      <c r="S2" s="165"/>
      <c r="T2" s="165"/>
      <c r="U2" s="165"/>
      <c r="V2" s="165"/>
      <c r="W2" s="165"/>
      <c r="X2" s="165"/>
      <c r="Y2" s="166"/>
    </row>
    <row r="3" spans="1:25" ht="14.5" thickBot="1">
      <c r="A3" s="167"/>
      <c r="B3" s="168"/>
      <c r="C3" s="168"/>
      <c r="D3" s="168"/>
      <c r="E3" s="168"/>
      <c r="F3" s="168"/>
      <c r="G3" s="168"/>
      <c r="H3" s="168"/>
      <c r="I3" s="168"/>
      <c r="J3" s="168"/>
      <c r="K3" s="169" t="s">
        <v>364</v>
      </c>
      <c r="L3" s="168"/>
      <c r="M3" s="168"/>
      <c r="N3" s="168"/>
      <c r="O3" s="168"/>
      <c r="P3" s="168"/>
      <c r="Q3" s="168"/>
      <c r="R3" s="168"/>
      <c r="S3" s="168"/>
      <c r="T3" s="168"/>
      <c r="U3" s="168"/>
      <c r="V3" s="168"/>
      <c r="W3" s="168"/>
      <c r="X3" s="168"/>
      <c r="Y3" s="170"/>
    </row>
    <row r="4" spans="1:25" ht="14.5" customHeight="1" thickBot="1">
      <c r="A4" s="171" t="s">
        <v>308</v>
      </c>
      <c r="B4" s="395"/>
      <c r="C4" s="395"/>
      <c r="D4" s="172"/>
      <c r="E4" s="172"/>
      <c r="F4" s="173" t="s">
        <v>172</v>
      </c>
      <c r="G4" s="174"/>
      <c r="H4" s="168"/>
      <c r="I4" s="168"/>
      <c r="J4" s="168"/>
      <c r="K4" s="385" t="str">
        <f>VLOOKUP($F$13,Guidelines!B2:C122,Guidelines!C2,FALSE)</f>
        <v>ESPEN guidelines on nutrition in cancer patients (2016)
1) To detect nutritional disturbances at an early stage, we recommend to regularly evaluate nutritional intake, weight change and BMI, 
beginning with cancer diagnosis and repeated depending on the stability of the clinical situation.
2) In patients with abnormal screening, we recommend objective and quantitative assessment of nutritional intake, nutrition impact
symptoms, muscle mass, physical performance and the degree of systemic inflammation.
3) We recommend, that total energy expenditure of cancer patients, if not measured individually, be assumed to be similar to healthy subjects and generally ranging between 25 and 30 kcal/kg/day.
4) We recommend that protein intake should be above 1 g/kg/day and, if possible up to 1.5 g/kg/day.
5) In weight-losing cancer patients with insulin resistance we recommend to increase the ratio of energy from fat to energy from
carbohydrates. This is intended to increase the energy density of the diet and to reducethe glycemic load.
6)We recommend that vitamins and minerals be supplied in amounts approximately equal to the RDA and discourage the use of high-dose micronutrients in the absence of specific deficiencies.
7) We recommend nutritional intervention to increase oral intake in cancer patients who are able to eat but are malnourished or at risk
of malnutrition. This includes dietary advice, the treatment of symptoms and derangements impairing food intake (nutrition impact
symptoms), and offering oral nutritional supplements.
https://www.espen.org/files/ESPEN-guideline_Clinical-nutrition-in-surgery.pdf</v>
      </c>
      <c r="L4" s="385"/>
      <c r="M4" s="385"/>
      <c r="N4" s="385"/>
      <c r="O4" s="385"/>
      <c r="P4" s="385"/>
      <c r="Q4" s="385"/>
      <c r="R4" s="385"/>
      <c r="S4" s="385"/>
      <c r="T4" s="385"/>
      <c r="U4" s="385"/>
      <c r="V4" s="385"/>
      <c r="W4" s="385"/>
      <c r="X4" s="385"/>
      <c r="Y4" s="386"/>
    </row>
    <row r="5" spans="1:25" ht="14.5" customHeight="1" thickBot="1">
      <c r="A5" s="167"/>
      <c r="B5" s="168"/>
      <c r="C5" s="168"/>
      <c r="D5" s="168"/>
      <c r="E5" s="168"/>
      <c r="F5" s="168"/>
      <c r="G5" s="168"/>
      <c r="H5" s="168"/>
      <c r="I5" s="168"/>
      <c r="J5" s="168"/>
      <c r="K5" s="385"/>
      <c r="L5" s="385"/>
      <c r="M5" s="385"/>
      <c r="N5" s="385"/>
      <c r="O5" s="385"/>
      <c r="P5" s="385"/>
      <c r="Q5" s="385"/>
      <c r="R5" s="385"/>
      <c r="S5" s="385"/>
      <c r="T5" s="385"/>
      <c r="U5" s="385"/>
      <c r="V5" s="385"/>
      <c r="W5" s="385"/>
      <c r="X5" s="385"/>
      <c r="Y5" s="386"/>
    </row>
    <row r="6" spans="1:25" ht="14.5" customHeight="1" thickBot="1">
      <c r="A6" s="175" t="s">
        <v>179</v>
      </c>
      <c r="B6" s="174"/>
      <c r="C6" s="168" t="s">
        <v>271</v>
      </c>
      <c r="D6" s="168"/>
      <c r="E6" s="168"/>
      <c r="F6" s="173" t="s">
        <v>182</v>
      </c>
      <c r="G6" s="174"/>
      <c r="H6" s="168"/>
      <c r="I6" s="168"/>
      <c r="J6" s="168"/>
      <c r="K6" s="385"/>
      <c r="L6" s="385"/>
      <c r="M6" s="385"/>
      <c r="N6" s="385"/>
      <c r="O6" s="385"/>
      <c r="P6" s="385"/>
      <c r="Q6" s="385"/>
      <c r="R6" s="385"/>
      <c r="S6" s="385"/>
      <c r="T6" s="385"/>
      <c r="U6" s="385"/>
      <c r="V6" s="385"/>
      <c r="W6" s="385"/>
      <c r="X6" s="385"/>
      <c r="Y6" s="386"/>
    </row>
    <row r="7" spans="1:25" ht="14.5" customHeight="1" thickBot="1">
      <c r="A7" s="167"/>
      <c r="B7" s="168"/>
      <c r="C7" s="168"/>
      <c r="D7" s="168"/>
      <c r="E7" s="168"/>
      <c r="F7" s="168"/>
      <c r="G7" s="168"/>
      <c r="H7" s="168"/>
      <c r="I7" s="168"/>
      <c r="J7" s="168"/>
      <c r="K7" s="385"/>
      <c r="L7" s="385"/>
      <c r="M7" s="385"/>
      <c r="N7" s="385"/>
      <c r="O7" s="385"/>
      <c r="P7" s="385"/>
      <c r="Q7" s="385"/>
      <c r="R7" s="385"/>
      <c r="S7" s="385"/>
      <c r="T7" s="385"/>
      <c r="U7" s="385"/>
      <c r="V7" s="385"/>
      <c r="W7" s="385"/>
      <c r="X7" s="385"/>
      <c r="Y7" s="386"/>
    </row>
    <row r="8" spans="1:25" ht="14.5" customHeight="1" thickBot="1">
      <c r="A8" s="175" t="s">
        <v>207</v>
      </c>
      <c r="B8" s="174"/>
      <c r="C8" s="176" t="s">
        <v>181</v>
      </c>
      <c r="D8" s="176"/>
      <c r="E8" s="176"/>
      <c r="F8" s="173" t="s">
        <v>177</v>
      </c>
      <c r="G8" s="174"/>
      <c r="H8" s="168" t="s">
        <v>180</v>
      </c>
      <c r="I8" s="168"/>
      <c r="J8" s="168"/>
      <c r="K8" s="385"/>
      <c r="L8" s="385"/>
      <c r="M8" s="385"/>
      <c r="N8" s="385"/>
      <c r="O8" s="385"/>
      <c r="P8" s="385"/>
      <c r="Q8" s="385"/>
      <c r="R8" s="385"/>
      <c r="S8" s="385"/>
      <c r="T8" s="385"/>
      <c r="U8" s="385"/>
      <c r="V8" s="385"/>
      <c r="W8" s="385"/>
      <c r="X8" s="385"/>
      <c r="Y8" s="386"/>
    </row>
    <row r="9" spans="1:25" ht="14.5" customHeight="1" thickBot="1">
      <c r="A9" s="177" t="s">
        <v>175</v>
      </c>
      <c r="B9" s="168"/>
      <c r="C9" s="168"/>
      <c r="D9" s="168"/>
      <c r="E9" s="168"/>
      <c r="F9" s="168"/>
      <c r="G9" s="168"/>
      <c r="H9" s="168"/>
      <c r="I9" s="168"/>
      <c r="J9" s="168"/>
      <c r="K9" s="385"/>
      <c r="L9" s="385"/>
      <c r="M9" s="385"/>
      <c r="N9" s="385"/>
      <c r="O9" s="385"/>
      <c r="P9" s="385"/>
      <c r="Q9" s="385"/>
      <c r="R9" s="385"/>
      <c r="S9" s="385"/>
      <c r="T9" s="385"/>
      <c r="U9" s="385"/>
      <c r="V9" s="385"/>
      <c r="W9" s="385"/>
      <c r="X9" s="385"/>
      <c r="Y9" s="386"/>
    </row>
    <row r="10" spans="1:25" ht="14.5" customHeight="1" thickBot="1">
      <c r="A10" s="175" t="s">
        <v>178</v>
      </c>
      <c r="B10" s="178" t="e">
        <f>B8/B6/B6</f>
        <v>#DIV/0!</v>
      </c>
      <c r="C10" s="168" t="s">
        <v>181</v>
      </c>
      <c r="D10" s="168"/>
      <c r="E10" s="168"/>
      <c r="F10" s="173" t="s">
        <v>208</v>
      </c>
      <c r="G10" s="178">
        <f>B6*B6*22</f>
        <v>0</v>
      </c>
      <c r="H10" s="168" t="s">
        <v>181</v>
      </c>
      <c r="I10" s="168"/>
      <c r="J10" s="168"/>
      <c r="K10" s="385"/>
      <c r="L10" s="385"/>
      <c r="M10" s="385"/>
      <c r="N10" s="385"/>
      <c r="O10" s="385"/>
      <c r="P10" s="385"/>
      <c r="Q10" s="385"/>
      <c r="R10" s="385"/>
      <c r="S10" s="385"/>
      <c r="T10" s="385"/>
      <c r="U10" s="385"/>
      <c r="V10" s="385"/>
      <c r="W10" s="385"/>
      <c r="X10" s="385"/>
      <c r="Y10" s="386"/>
    </row>
    <row r="11" spans="1:25" ht="14" customHeight="1" thickBot="1">
      <c r="A11" s="167"/>
      <c r="B11" s="168"/>
      <c r="C11" s="168"/>
      <c r="D11" s="168"/>
      <c r="E11" s="168"/>
      <c r="F11" s="168" t="s">
        <v>254</v>
      </c>
      <c r="G11" s="179">
        <f>B8-G10</f>
        <v>0</v>
      </c>
      <c r="H11" s="168" t="s">
        <v>181</v>
      </c>
      <c r="I11" s="168"/>
      <c r="J11" s="168"/>
      <c r="K11" s="385"/>
      <c r="L11" s="385"/>
      <c r="M11" s="385"/>
      <c r="N11" s="385"/>
      <c r="O11" s="385"/>
      <c r="P11" s="385"/>
      <c r="Q11" s="385"/>
      <c r="R11" s="385"/>
      <c r="S11" s="385"/>
      <c r="T11" s="385"/>
      <c r="U11" s="385"/>
      <c r="V11" s="385"/>
      <c r="W11" s="385"/>
      <c r="X11" s="385"/>
      <c r="Y11" s="386"/>
    </row>
    <row r="12" spans="1:25" ht="14.5" customHeight="1" thickBot="1">
      <c r="C12" s="168"/>
      <c r="D12" s="168"/>
      <c r="E12" s="168"/>
      <c r="F12" s="276" t="s">
        <v>391</v>
      </c>
      <c r="G12" s="277"/>
      <c r="H12" s="168"/>
      <c r="I12" s="168"/>
      <c r="J12" s="168"/>
      <c r="K12" s="385"/>
      <c r="L12" s="385"/>
      <c r="M12" s="385"/>
      <c r="N12" s="385"/>
      <c r="O12" s="385"/>
      <c r="P12" s="385"/>
      <c r="Q12" s="385"/>
      <c r="R12" s="385"/>
      <c r="S12" s="385"/>
      <c r="T12" s="385"/>
      <c r="U12" s="385"/>
      <c r="V12" s="385"/>
      <c r="W12" s="385"/>
      <c r="X12" s="385"/>
      <c r="Y12" s="386"/>
    </row>
    <row r="13" spans="1:25" ht="14.5" thickBot="1">
      <c r="C13" s="168"/>
      <c r="D13" s="168"/>
      <c r="E13" s="168"/>
      <c r="F13" s="396" t="s">
        <v>362</v>
      </c>
      <c r="G13" s="397"/>
      <c r="H13" s="176"/>
      <c r="I13" s="176"/>
      <c r="J13" s="168"/>
      <c r="K13" s="385"/>
      <c r="L13" s="385"/>
      <c r="M13" s="385"/>
      <c r="N13" s="385"/>
      <c r="O13" s="385"/>
      <c r="P13" s="385"/>
      <c r="Q13" s="385"/>
      <c r="R13" s="385"/>
      <c r="S13" s="385"/>
      <c r="T13" s="385"/>
      <c r="U13" s="385"/>
      <c r="V13" s="385"/>
      <c r="W13" s="385"/>
      <c r="X13" s="385"/>
      <c r="Y13" s="386"/>
    </row>
    <row r="14" spans="1:25" ht="14" customHeight="1" thickBot="1">
      <c r="A14" s="167"/>
      <c r="B14" s="168"/>
      <c r="C14" s="168"/>
      <c r="D14" s="168"/>
      <c r="E14" s="168"/>
      <c r="F14" s="168"/>
      <c r="G14" s="168"/>
      <c r="H14" s="168"/>
      <c r="I14" s="168"/>
      <c r="J14" s="168"/>
      <c r="K14" s="385"/>
      <c r="L14" s="385"/>
      <c r="M14" s="385"/>
      <c r="N14" s="385"/>
      <c r="O14" s="385"/>
      <c r="P14" s="385"/>
      <c r="Q14" s="385"/>
      <c r="R14" s="385"/>
      <c r="S14" s="385"/>
      <c r="T14" s="385"/>
      <c r="U14" s="385"/>
      <c r="V14" s="385"/>
      <c r="W14" s="385"/>
      <c r="X14" s="385"/>
      <c r="Y14" s="386"/>
    </row>
    <row r="15" spans="1:25" ht="14" customHeight="1" thickBot="1">
      <c r="A15" s="180" t="s">
        <v>365</v>
      </c>
      <c r="B15" s="181"/>
      <c r="C15" s="182" t="s">
        <v>299</v>
      </c>
      <c r="D15" s="183"/>
      <c r="E15" s="183"/>
      <c r="F15" s="182" t="s">
        <v>300</v>
      </c>
      <c r="G15" s="184"/>
      <c r="H15" s="182" t="s">
        <v>301</v>
      </c>
      <c r="I15" s="183"/>
      <c r="J15" s="184"/>
      <c r="K15" s="385"/>
      <c r="L15" s="385"/>
      <c r="M15" s="385"/>
      <c r="N15" s="385"/>
      <c r="O15" s="385"/>
      <c r="P15" s="385"/>
      <c r="Q15" s="385"/>
      <c r="R15" s="385"/>
      <c r="S15" s="385"/>
      <c r="T15" s="385"/>
      <c r="U15" s="385"/>
      <c r="V15" s="385"/>
      <c r="W15" s="385"/>
      <c r="X15" s="385"/>
      <c r="Y15" s="386"/>
    </row>
    <row r="16" spans="1:25" ht="14" customHeight="1" thickBot="1">
      <c r="A16" s="185" t="s">
        <v>302</v>
      </c>
      <c r="B16" s="186"/>
      <c r="C16" s="355"/>
      <c r="D16" s="356"/>
      <c r="E16" s="356"/>
      <c r="F16" s="355"/>
      <c r="G16" s="357"/>
      <c r="H16" s="355"/>
      <c r="I16" s="356"/>
      <c r="J16" s="357"/>
      <c r="K16" s="385"/>
      <c r="L16" s="385"/>
      <c r="M16" s="385"/>
      <c r="N16" s="385"/>
      <c r="O16" s="385"/>
      <c r="P16" s="385"/>
      <c r="Q16" s="385"/>
      <c r="R16" s="385"/>
      <c r="S16" s="385"/>
      <c r="T16" s="385"/>
      <c r="U16" s="385"/>
      <c r="V16" s="385"/>
      <c r="W16" s="385"/>
      <c r="X16" s="385"/>
      <c r="Y16" s="386"/>
    </row>
    <row r="17" spans="1:25" ht="14" customHeight="1">
      <c r="A17" s="167"/>
      <c r="B17" s="168"/>
      <c r="C17" s="168"/>
      <c r="D17" s="168"/>
      <c r="E17" s="168"/>
      <c r="F17" s="168"/>
      <c r="G17" s="168"/>
      <c r="H17" s="168"/>
      <c r="I17" s="168"/>
      <c r="J17" s="168"/>
      <c r="K17" s="385"/>
      <c r="L17" s="385"/>
      <c r="M17" s="385"/>
      <c r="N17" s="385"/>
      <c r="O17" s="385"/>
      <c r="P17" s="385"/>
      <c r="Q17" s="385"/>
      <c r="R17" s="385"/>
      <c r="S17" s="385"/>
      <c r="T17" s="385"/>
      <c r="U17" s="385"/>
      <c r="V17" s="385"/>
      <c r="W17" s="385"/>
      <c r="X17" s="385"/>
      <c r="Y17" s="386"/>
    </row>
    <row r="18" spans="1:25" ht="14.5" customHeight="1" thickBot="1">
      <c r="A18" s="187" t="s">
        <v>366</v>
      </c>
      <c r="B18" s="176"/>
      <c r="C18" s="176" t="s">
        <v>231</v>
      </c>
      <c r="D18" s="176" t="s">
        <v>348</v>
      </c>
      <c r="E18" s="176"/>
      <c r="F18" s="176" t="s">
        <v>367</v>
      </c>
      <c r="G18" s="176"/>
      <c r="H18" s="176" t="s">
        <v>232</v>
      </c>
      <c r="I18" s="176" t="s">
        <v>351</v>
      </c>
      <c r="J18" s="168"/>
      <c r="K18" s="385"/>
      <c r="L18" s="385"/>
      <c r="M18" s="385"/>
      <c r="N18" s="385"/>
      <c r="O18" s="385"/>
      <c r="P18" s="385"/>
      <c r="Q18" s="385"/>
      <c r="R18" s="385"/>
      <c r="S18" s="385"/>
      <c r="T18" s="385"/>
      <c r="U18" s="385"/>
      <c r="V18" s="385"/>
      <c r="W18" s="385"/>
      <c r="X18" s="385"/>
      <c r="Y18" s="386"/>
    </row>
    <row r="19" spans="1:25" ht="14.5" customHeight="1" thickBot="1">
      <c r="A19" s="188"/>
      <c r="B19" s="189"/>
      <c r="C19" s="190"/>
      <c r="D19" s="190"/>
      <c r="E19" s="176"/>
      <c r="F19" s="188"/>
      <c r="G19" s="189"/>
      <c r="H19" s="190"/>
      <c r="I19" s="190"/>
      <c r="J19" s="168"/>
      <c r="K19" s="385"/>
      <c r="L19" s="385"/>
      <c r="M19" s="385"/>
      <c r="N19" s="385"/>
      <c r="O19" s="385"/>
      <c r="P19" s="385"/>
      <c r="Q19" s="385"/>
      <c r="R19" s="385"/>
      <c r="S19" s="385"/>
      <c r="T19" s="385"/>
      <c r="U19" s="385"/>
      <c r="V19" s="385"/>
      <c r="W19" s="385"/>
      <c r="X19" s="385"/>
      <c r="Y19" s="386"/>
    </row>
    <row r="20" spans="1:25" ht="14" customHeight="1">
      <c r="A20" s="369" t="e">
        <f>VLOOKUP(A19,'Product Info'!$A$2:$B$15,'Product Info'!$B$1,FALSE)</f>
        <v>#N/A</v>
      </c>
      <c r="B20" s="370"/>
      <c r="C20" s="370"/>
      <c r="D20" s="371"/>
      <c r="E20" s="176"/>
      <c r="F20" s="369" t="e">
        <f>VLOOKUP(F19,'Product Info'!$A$2:$B$15,'Product Info'!$B$1,FALSE)</f>
        <v>#N/A</v>
      </c>
      <c r="G20" s="370"/>
      <c r="H20" s="370"/>
      <c r="I20" s="371"/>
      <c r="J20" s="168"/>
      <c r="K20" s="385"/>
      <c r="L20" s="385"/>
      <c r="M20" s="385"/>
      <c r="N20" s="385"/>
      <c r="O20" s="385"/>
      <c r="P20" s="385"/>
      <c r="Q20" s="385"/>
      <c r="R20" s="385"/>
      <c r="S20" s="385"/>
      <c r="T20" s="385"/>
      <c r="U20" s="385"/>
      <c r="V20" s="385"/>
      <c r="W20" s="385"/>
      <c r="X20" s="385"/>
      <c r="Y20" s="386"/>
    </row>
    <row r="21" spans="1:25" ht="14" customHeight="1" thickBot="1">
      <c r="A21" s="372"/>
      <c r="B21" s="373"/>
      <c r="C21" s="373"/>
      <c r="D21" s="374"/>
      <c r="E21" s="176"/>
      <c r="F21" s="372"/>
      <c r="G21" s="373"/>
      <c r="H21" s="373"/>
      <c r="I21" s="374"/>
      <c r="J21" s="168"/>
      <c r="K21" s="385"/>
      <c r="L21" s="385"/>
      <c r="M21" s="385"/>
      <c r="N21" s="385"/>
      <c r="O21" s="385"/>
      <c r="P21" s="385"/>
      <c r="Q21" s="385"/>
      <c r="R21" s="385"/>
      <c r="S21" s="385"/>
      <c r="T21" s="385"/>
      <c r="U21" s="385"/>
      <c r="V21" s="385"/>
      <c r="W21" s="385"/>
      <c r="X21" s="385"/>
      <c r="Y21" s="386"/>
    </row>
    <row r="22" spans="1:25" ht="14" customHeight="1">
      <c r="A22" s="191"/>
      <c r="B22" s="192"/>
      <c r="C22" s="176"/>
      <c r="D22" s="176"/>
      <c r="E22" s="176"/>
      <c r="F22" s="176"/>
      <c r="G22" s="176"/>
      <c r="H22" s="176"/>
      <c r="I22" s="176"/>
      <c r="J22" s="168"/>
      <c r="K22" s="385"/>
      <c r="L22" s="385"/>
      <c r="M22" s="385"/>
      <c r="N22" s="385"/>
      <c r="O22" s="385"/>
      <c r="P22" s="385"/>
      <c r="Q22" s="385"/>
      <c r="R22" s="385"/>
      <c r="S22" s="385"/>
      <c r="T22" s="385"/>
      <c r="U22" s="385"/>
      <c r="V22" s="385"/>
      <c r="W22" s="385"/>
      <c r="X22" s="385"/>
      <c r="Y22" s="386"/>
    </row>
    <row r="23" spans="1:25" ht="14.5" customHeight="1" thickBot="1">
      <c r="A23" s="187" t="s">
        <v>229</v>
      </c>
      <c r="B23" s="176"/>
      <c r="C23" s="176" t="s">
        <v>231</v>
      </c>
      <c r="D23" s="176" t="s">
        <v>351</v>
      </c>
      <c r="E23" s="176"/>
      <c r="F23" s="176" t="s">
        <v>230</v>
      </c>
      <c r="G23" s="176"/>
      <c r="H23" s="176" t="s">
        <v>231</v>
      </c>
      <c r="I23" s="176" t="s">
        <v>351</v>
      </c>
      <c r="J23" s="168"/>
      <c r="K23" s="385"/>
      <c r="L23" s="385"/>
      <c r="M23" s="385"/>
      <c r="N23" s="385"/>
      <c r="O23" s="385"/>
      <c r="P23" s="385"/>
      <c r="Q23" s="385"/>
      <c r="R23" s="385"/>
      <c r="S23" s="385"/>
      <c r="T23" s="385"/>
      <c r="U23" s="385"/>
      <c r="V23" s="385"/>
      <c r="W23" s="385"/>
      <c r="X23" s="385"/>
      <c r="Y23" s="386"/>
    </row>
    <row r="24" spans="1:25" ht="14.5" customHeight="1" thickBot="1">
      <c r="A24" s="193"/>
      <c r="B24" s="194"/>
      <c r="C24" s="195"/>
      <c r="D24" s="195"/>
      <c r="E24" s="176"/>
      <c r="F24" s="193"/>
      <c r="G24" s="194"/>
      <c r="H24" s="195"/>
      <c r="I24" s="195"/>
      <c r="J24" s="168"/>
      <c r="K24" s="385"/>
      <c r="L24" s="385"/>
      <c r="M24" s="385"/>
      <c r="N24" s="385"/>
      <c r="O24" s="385"/>
      <c r="P24" s="385"/>
      <c r="Q24" s="385"/>
      <c r="R24" s="385"/>
      <c r="S24" s="385"/>
      <c r="T24" s="385"/>
      <c r="U24" s="385"/>
      <c r="V24" s="385"/>
      <c r="W24" s="385"/>
      <c r="X24" s="385"/>
      <c r="Y24" s="386"/>
    </row>
    <row r="25" spans="1:25" ht="13" customHeight="1">
      <c r="A25" s="375" t="e">
        <f>VLOOKUP(A24,'Product Info'!$A$2:$B$15,'Product Info'!$B$1,FALSE)</f>
        <v>#N/A</v>
      </c>
      <c r="B25" s="376"/>
      <c r="C25" s="376"/>
      <c r="D25" s="377"/>
      <c r="E25" s="168"/>
      <c r="F25" s="375" t="e">
        <f>VLOOKUP(F24,'Product Info'!$A$2:$B$15,'Product Info'!$B$1,FALSE)</f>
        <v>#N/A</v>
      </c>
      <c r="G25" s="376"/>
      <c r="H25" s="376"/>
      <c r="I25" s="377"/>
      <c r="J25" s="168"/>
      <c r="K25" s="385"/>
      <c r="L25" s="385"/>
      <c r="M25" s="385"/>
      <c r="N25" s="385"/>
      <c r="O25" s="385"/>
      <c r="P25" s="385"/>
      <c r="Q25" s="385"/>
      <c r="R25" s="385"/>
      <c r="S25" s="385"/>
      <c r="T25" s="385"/>
      <c r="U25" s="385"/>
      <c r="V25" s="385"/>
      <c r="W25" s="385"/>
      <c r="X25" s="385"/>
      <c r="Y25" s="386"/>
    </row>
    <row r="26" spans="1:25" ht="23.5" customHeight="1">
      <c r="A26" s="378"/>
      <c r="B26" s="379"/>
      <c r="C26" s="379"/>
      <c r="D26" s="380"/>
      <c r="E26" s="168"/>
      <c r="F26" s="378"/>
      <c r="G26" s="379"/>
      <c r="H26" s="379"/>
      <c r="I26" s="380"/>
      <c r="J26" s="168"/>
      <c r="K26" s="385"/>
      <c r="L26" s="385"/>
      <c r="M26" s="385"/>
      <c r="N26" s="385"/>
      <c r="O26" s="385"/>
      <c r="P26" s="385"/>
      <c r="Q26" s="385"/>
      <c r="R26" s="385"/>
      <c r="S26" s="385"/>
      <c r="T26" s="385"/>
      <c r="U26" s="385"/>
      <c r="V26" s="385"/>
      <c r="W26" s="385"/>
      <c r="X26" s="385"/>
      <c r="Y26" s="386"/>
    </row>
    <row r="27" spans="1:25" ht="21" customHeight="1" thickBot="1">
      <c r="A27" s="381"/>
      <c r="B27" s="382"/>
      <c r="C27" s="382"/>
      <c r="D27" s="383"/>
      <c r="E27" s="168"/>
      <c r="F27" s="381"/>
      <c r="G27" s="382"/>
      <c r="H27" s="382"/>
      <c r="I27" s="383"/>
      <c r="J27" s="168"/>
      <c r="K27" s="385"/>
      <c r="L27" s="385"/>
      <c r="M27" s="385"/>
      <c r="N27" s="385"/>
      <c r="O27" s="385"/>
      <c r="P27" s="385"/>
      <c r="Q27" s="385"/>
      <c r="R27" s="385"/>
      <c r="S27" s="385"/>
      <c r="T27" s="385"/>
      <c r="U27" s="385"/>
      <c r="V27" s="385"/>
      <c r="W27" s="385"/>
      <c r="X27" s="385"/>
      <c r="Y27" s="386"/>
    </row>
    <row r="28" spans="1:25" ht="15.5">
      <c r="A28" s="167"/>
      <c r="B28" s="168"/>
      <c r="C28" s="168"/>
      <c r="D28" s="168"/>
      <c r="E28" s="168"/>
      <c r="F28" s="168"/>
      <c r="G28" s="168"/>
      <c r="H28" s="168"/>
      <c r="I28" s="168"/>
      <c r="J28" s="168"/>
      <c r="K28" s="196"/>
      <c r="L28" s="196"/>
      <c r="M28" s="196"/>
      <c r="N28" s="196"/>
      <c r="O28" s="196"/>
      <c r="P28" s="196"/>
      <c r="Q28" s="196"/>
      <c r="R28" s="196"/>
      <c r="S28" s="196"/>
      <c r="T28" s="196"/>
      <c r="U28" s="196"/>
      <c r="V28" s="196"/>
      <c r="W28" s="196"/>
      <c r="X28" s="196"/>
      <c r="Y28" s="197"/>
    </row>
    <row r="29" spans="1:25" ht="20">
      <c r="A29" s="198" t="s">
        <v>294</v>
      </c>
      <c r="B29" s="199">
        <f>J100</f>
        <v>0</v>
      </c>
      <c r="C29" s="168" t="s">
        <v>349</v>
      </c>
      <c r="D29" s="168"/>
      <c r="E29" s="168"/>
      <c r="F29" s="200" t="s">
        <v>234</v>
      </c>
      <c r="G29" s="201"/>
      <c r="H29" s="202">
        <f>J107</f>
        <v>0</v>
      </c>
      <c r="I29" s="168" t="s">
        <v>350</v>
      </c>
      <c r="K29" s="203" t="s">
        <v>309</v>
      </c>
      <c r="L29" s="204">
        <f>Database!E46+H16</f>
        <v>0</v>
      </c>
      <c r="M29" s="168" t="s">
        <v>312</v>
      </c>
      <c r="N29" s="168"/>
      <c r="O29" s="205" t="s">
        <v>314</v>
      </c>
      <c r="P29" s="206"/>
      <c r="Q29" s="207">
        <f>Database!K46/1000</f>
        <v>0</v>
      </c>
      <c r="R29" s="168" t="s">
        <v>315</v>
      </c>
      <c r="S29" s="168"/>
      <c r="T29" s="208" t="s">
        <v>317</v>
      </c>
      <c r="U29" s="209"/>
      <c r="V29" s="210">
        <f>Database!L46/1000</f>
        <v>0</v>
      </c>
      <c r="W29" s="168" t="s">
        <v>315</v>
      </c>
      <c r="X29" s="168"/>
      <c r="Y29" s="170"/>
    </row>
    <row r="30" spans="1:25" ht="20">
      <c r="A30" s="211" t="s">
        <v>250</v>
      </c>
      <c r="B30" s="212" t="s">
        <v>251</v>
      </c>
      <c r="C30" s="212" t="s">
        <v>252</v>
      </c>
      <c r="D30" s="213"/>
      <c r="E30" s="168"/>
      <c r="F30" s="214" t="s">
        <v>347</v>
      </c>
      <c r="G30" s="215"/>
      <c r="H30" s="216">
        <f>Database!$AP$49/1000</f>
        <v>0</v>
      </c>
      <c r="I30" s="168" t="s">
        <v>350</v>
      </c>
      <c r="K30" s="217" t="s">
        <v>310</v>
      </c>
      <c r="L30" s="217"/>
      <c r="M30" s="168" t="s">
        <v>313</v>
      </c>
      <c r="N30" s="168"/>
      <c r="O30" s="206"/>
      <c r="P30" s="206"/>
      <c r="Q30" s="218">
        <f>Q29*43.5</f>
        <v>0</v>
      </c>
      <c r="R30" s="168" t="s">
        <v>316</v>
      </c>
      <c r="S30" s="168"/>
      <c r="T30" s="209"/>
      <c r="U30" s="209"/>
      <c r="V30" s="210">
        <f>V29*25.6</f>
        <v>0</v>
      </c>
      <c r="W30" s="168" t="s">
        <v>318</v>
      </c>
      <c r="X30" s="168"/>
      <c r="Y30" s="170"/>
    </row>
    <row r="31" spans="1:25" ht="17" customHeight="1">
      <c r="A31" s="219" t="e">
        <f>Database!$F$50</f>
        <v>#DIV/0!</v>
      </c>
      <c r="B31" s="220" t="e">
        <f>Database!$G$50</f>
        <v>#DIV/0!</v>
      </c>
      <c r="C31" s="220" t="e">
        <f>Database!$H$50</f>
        <v>#DIV/0!</v>
      </c>
      <c r="D31" s="221"/>
      <c r="E31" s="168"/>
      <c r="F31" s="222" t="s">
        <v>321</v>
      </c>
      <c r="G31" s="223"/>
      <c r="H31" s="168"/>
      <c r="I31" s="168"/>
      <c r="J31" s="168"/>
      <c r="K31" s="224" t="s">
        <v>311</v>
      </c>
      <c r="L31" s="224">
        <f>L29-L30</f>
        <v>0</v>
      </c>
      <c r="M31" s="168" t="s">
        <v>313</v>
      </c>
      <c r="N31" s="168"/>
      <c r="O31" s="225" t="s">
        <v>257</v>
      </c>
      <c r="P31" s="226"/>
      <c r="Q31" s="227">
        <f>Database!J46</f>
        <v>0</v>
      </c>
      <c r="R31" s="168" t="s">
        <v>247</v>
      </c>
      <c r="S31" s="168"/>
      <c r="T31" s="228" t="s">
        <v>346</v>
      </c>
      <c r="U31" s="168"/>
      <c r="V31" s="168"/>
      <c r="W31" s="168"/>
      <c r="X31" s="168"/>
      <c r="Y31" s="170"/>
    </row>
    <row r="32" spans="1:25" ht="13" customHeight="1">
      <c r="A32" s="167"/>
      <c r="B32" s="168"/>
      <c r="C32" s="168"/>
      <c r="D32" s="168"/>
      <c r="E32" s="168"/>
      <c r="F32" s="168"/>
      <c r="G32" s="168"/>
      <c r="H32" s="168"/>
      <c r="I32" s="168"/>
      <c r="J32" s="168"/>
      <c r="K32" s="168"/>
      <c r="L32" s="168"/>
      <c r="M32" s="168"/>
      <c r="N32" s="229"/>
      <c r="O32" s="229"/>
      <c r="P32" s="229"/>
      <c r="Q32" s="229"/>
      <c r="R32" s="229"/>
      <c r="S32" s="229"/>
      <c r="T32" s="229"/>
      <c r="U32" s="229"/>
      <c r="V32" s="229"/>
      <c r="W32" s="229"/>
      <c r="X32" s="229"/>
      <c r="Y32" s="230"/>
    </row>
    <row r="33" spans="1:25" ht="13" customHeight="1" thickBot="1">
      <c r="A33" s="167"/>
      <c r="B33" s="168"/>
      <c r="C33" s="168"/>
      <c r="D33" s="168"/>
      <c r="E33" s="168"/>
      <c r="F33" s="168"/>
      <c r="G33" s="168"/>
      <c r="H33" s="168"/>
      <c r="I33" s="168"/>
      <c r="J33" s="168"/>
      <c r="K33" s="384" t="s">
        <v>368</v>
      </c>
      <c r="L33" s="384"/>
      <c r="M33" s="384"/>
      <c r="N33" s="231"/>
      <c r="O33" s="231"/>
      <c r="P33" s="231"/>
      <c r="Q33" s="231"/>
      <c r="R33" s="229"/>
      <c r="S33" s="384" t="s">
        <v>369</v>
      </c>
      <c r="T33" s="384"/>
      <c r="U33" s="384"/>
      <c r="V33" s="229"/>
      <c r="W33" s="229"/>
      <c r="X33" s="229"/>
      <c r="Y33" s="230"/>
    </row>
    <row r="34" spans="1:25">
      <c r="A34" s="167"/>
      <c r="B34" s="168"/>
      <c r="C34" s="168"/>
      <c r="D34" s="168"/>
      <c r="E34" s="168"/>
      <c r="F34" s="168"/>
      <c r="G34" s="168"/>
      <c r="H34" s="168"/>
      <c r="I34" s="168"/>
      <c r="J34" s="168"/>
      <c r="K34" s="387" t="e">
        <f>VLOOKUP(A19,'Product Info'!$A$20:$B$24,'Product Info'!$B$1,FALSE)</f>
        <v>#N/A</v>
      </c>
      <c r="L34" s="388"/>
      <c r="M34" s="388"/>
      <c r="N34" s="388"/>
      <c r="O34" s="388"/>
      <c r="P34" s="388"/>
      <c r="Q34" s="389"/>
      <c r="R34" s="229"/>
      <c r="S34" s="387" t="e">
        <f>VLOOKUP(F19,'Product Info'!$A$20:$B$24,'Product Info'!$B$1,FALSE)</f>
        <v>#N/A</v>
      </c>
      <c r="T34" s="388"/>
      <c r="U34" s="388"/>
      <c r="V34" s="388"/>
      <c r="W34" s="388"/>
      <c r="X34" s="388"/>
      <c r="Y34" s="389"/>
    </row>
    <row r="35" spans="1:25">
      <c r="A35" s="167"/>
      <c r="B35" s="168"/>
      <c r="C35" s="168"/>
      <c r="D35" s="168"/>
      <c r="E35" s="168"/>
      <c r="F35" s="168"/>
      <c r="G35" s="168"/>
      <c r="H35" s="168"/>
      <c r="I35" s="168"/>
      <c r="J35" s="168"/>
      <c r="K35" s="390"/>
      <c r="L35" s="384"/>
      <c r="M35" s="384"/>
      <c r="N35" s="384"/>
      <c r="O35" s="384"/>
      <c r="P35" s="384"/>
      <c r="Q35" s="391"/>
      <c r="R35" s="229"/>
      <c r="S35" s="390"/>
      <c r="T35" s="384"/>
      <c r="U35" s="384"/>
      <c r="V35" s="384"/>
      <c r="W35" s="384"/>
      <c r="X35" s="384"/>
      <c r="Y35" s="391"/>
    </row>
    <row r="36" spans="1:25">
      <c r="A36" s="167"/>
      <c r="B36" s="168"/>
      <c r="C36" s="168"/>
      <c r="D36" s="168"/>
      <c r="E36" s="168"/>
      <c r="F36" s="168"/>
      <c r="G36" s="168"/>
      <c r="H36" s="168"/>
      <c r="I36" s="168"/>
      <c r="J36" s="168"/>
      <c r="K36" s="390"/>
      <c r="L36" s="384"/>
      <c r="M36" s="384"/>
      <c r="N36" s="384"/>
      <c r="O36" s="384"/>
      <c r="P36" s="384"/>
      <c r="Q36" s="391"/>
      <c r="R36" s="229"/>
      <c r="S36" s="390"/>
      <c r="T36" s="384"/>
      <c r="U36" s="384"/>
      <c r="V36" s="384"/>
      <c r="W36" s="384"/>
      <c r="X36" s="384"/>
      <c r="Y36" s="391"/>
    </row>
    <row r="37" spans="1:25">
      <c r="A37" s="167"/>
      <c r="B37" s="168"/>
      <c r="C37" s="168"/>
      <c r="D37" s="168"/>
      <c r="E37" s="168"/>
      <c r="F37" s="168"/>
      <c r="G37" s="168"/>
      <c r="H37" s="168"/>
      <c r="I37" s="168"/>
      <c r="J37" s="168"/>
      <c r="K37" s="390"/>
      <c r="L37" s="384"/>
      <c r="M37" s="384"/>
      <c r="N37" s="384"/>
      <c r="O37" s="384"/>
      <c r="P37" s="384"/>
      <c r="Q37" s="391"/>
      <c r="R37" s="229"/>
      <c r="S37" s="390"/>
      <c r="T37" s="384"/>
      <c r="U37" s="384"/>
      <c r="V37" s="384"/>
      <c r="W37" s="384"/>
      <c r="X37" s="384"/>
      <c r="Y37" s="391"/>
    </row>
    <row r="38" spans="1:25">
      <c r="A38" s="167"/>
      <c r="B38" s="168"/>
      <c r="C38" s="168"/>
      <c r="D38" s="168"/>
      <c r="E38" s="168"/>
      <c r="F38" s="168"/>
      <c r="G38" s="168"/>
      <c r="H38" s="168"/>
      <c r="I38" s="168"/>
      <c r="J38" s="168"/>
      <c r="K38" s="390"/>
      <c r="L38" s="384"/>
      <c r="M38" s="384"/>
      <c r="N38" s="384"/>
      <c r="O38" s="384"/>
      <c r="P38" s="384"/>
      <c r="Q38" s="391"/>
      <c r="R38" s="229"/>
      <c r="S38" s="390"/>
      <c r="T38" s="384"/>
      <c r="U38" s="384"/>
      <c r="V38" s="384"/>
      <c r="W38" s="384"/>
      <c r="X38" s="384"/>
      <c r="Y38" s="391"/>
    </row>
    <row r="39" spans="1:25">
      <c r="A39" s="167"/>
      <c r="B39" s="168"/>
      <c r="C39" s="168"/>
      <c r="D39" s="168"/>
      <c r="E39" s="168"/>
      <c r="F39" s="168"/>
      <c r="G39" s="168"/>
      <c r="H39" s="168"/>
      <c r="I39" s="168"/>
      <c r="J39" s="168"/>
      <c r="K39" s="390"/>
      <c r="L39" s="384"/>
      <c r="M39" s="384"/>
      <c r="N39" s="384"/>
      <c r="O39" s="384"/>
      <c r="P39" s="384"/>
      <c r="Q39" s="391"/>
      <c r="R39" s="229"/>
      <c r="S39" s="390"/>
      <c r="T39" s="384"/>
      <c r="U39" s="384"/>
      <c r="V39" s="384"/>
      <c r="W39" s="384"/>
      <c r="X39" s="384"/>
      <c r="Y39" s="391"/>
    </row>
    <row r="40" spans="1:25">
      <c r="A40" s="167"/>
      <c r="B40" s="168"/>
      <c r="C40" s="168"/>
      <c r="D40" s="168"/>
      <c r="E40" s="168"/>
      <c r="F40" s="168"/>
      <c r="G40" s="168"/>
      <c r="H40" s="168"/>
      <c r="I40" s="168"/>
      <c r="J40" s="168"/>
      <c r="K40" s="390"/>
      <c r="L40" s="384"/>
      <c r="M40" s="384"/>
      <c r="N40" s="384"/>
      <c r="O40" s="384"/>
      <c r="P40" s="384"/>
      <c r="Q40" s="391"/>
      <c r="R40" s="229"/>
      <c r="S40" s="390"/>
      <c r="T40" s="384"/>
      <c r="U40" s="384"/>
      <c r="V40" s="384"/>
      <c r="W40" s="384"/>
      <c r="X40" s="384"/>
      <c r="Y40" s="391"/>
    </row>
    <row r="41" spans="1:25" ht="14.5" thickBot="1">
      <c r="A41" s="167"/>
      <c r="B41" s="168"/>
      <c r="C41" s="168"/>
      <c r="D41" s="168"/>
      <c r="E41" s="168"/>
      <c r="F41" s="168"/>
      <c r="G41" s="168"/>
      <c r="H41" s="168"/>
      <c r="I41" s="168"/>
      <c r="J41" s="168"/>
      <c r="K41" s="392"/>
      <c r="L41" s="393"/>
      <c r="M41" s="393"/>
      <c r="N41" s="393"/>
      <c r="O41" s="393"/>
      <c r="P41" s="393"/>
      <c r="Q41" s="394"/>
      <c r="R41" s="229"/>
      <c r="S41" s="392"/>
      <c r="T41" s="393"/>
      <c r="U41" s="393"/>
      <c r="V41" s="393"/>
      <c r="W41" s="393"/>
      <c r="X41" s="393"/>
      <c r="Y41" s="394"/>
    </row>
    <row r="42" spans="1:25">
      <c r="A42" s="167"/>
      <c r="B42" s="168"/>
      <c r="C42" s="168"/>
      <c r="D42" s="168"/>
      <c r="E42" s="168"/>
      <c r="F42" s="168"/>
      <c r="G42" s="168"/>
      <c r="H42" s="168"/>
      <c r="I42" s="168"/>
      <c r="J42" s="168"/>
      <c r="K42" s="229"/>
      <c r="L42" s="229"/>
      <c r="M42" s="229"/>
      <c r="N42" s="229"/>
      <c r="O42" s="229"/>
      <c r="P42" s="229"/>
      <c r="Q42" s="229"/>
      <c r="R42" s="229"/>
      <c r="S42" s="229"/>
      <c r="T42" s="229"/>
      <c r="U42" s="229"/>
      <c r="V42" s="229"/>
      <c r="W42" s="229"/>
      <c r="X42" s="229"/>
      <c r="Y42" s="230"/>
    </row>
    <row r="43" spans="1:25" ht="14.5" thickBot="1">
      <c r="A43" s="167"/>
      <c r="B43" s="168"/>
      <c r="C43" s="168"/>
      <c r="D43" s="168"/>
      <c r="E43" s="168"/>
      <c r="F43" s="168"/>
      <c r="G43" s="168"/>
      <c r="H43" s="168"/>
      <c r="I43" s="168"/>
      <c r="J43" s="168"/>
      <c r="K43" s="232" t="s">
        <v>370</v>
      </c>
      <c r="L43" s="229"/>
      <c r="M43" s="229"/>
      <c r="N43" s="229"/>
      <c r="O43" s="229"/>
      <c r="P43" s="229"/>
      <c r="Q43" s="229"/>
      <c r="R43" s="229"/>
      <c r="S43" s="232" t="s">
        <v>371</v>
      </c>
      <c r="T43" s="229"/>
      <c r="U43" s="229"/>
      <c r="V43" s="229"/>
      <c r="W43" s="229"/>
      <c r="X43" s="229"/>
      <c r="Y43" s="230"/>
    </row>
    <row r="44" spans="1:25">
      <c r="A44" s="167"/>
      <c r="B44" s="168"/>
      <c r="C44" s="168"/>
      <c r="D44" s="168"/>
      <c r="E44" s="168"/>
      <c r="F44" s="168"/>
      <c r="G44" s="168"/>
      <c r="H44" s="168"/>
      <c r="I44" s="168"/>
      <c r="J44" s="168"/>
      <c r="K44" s="360" t="e">
        <f>VLOOKUP(A19,'Product Info'!$A$53:$B$57,'Product Info'!$B$1,FALSE)</f>
        <v>#N/A</v>
      </c>
      <c r="L44" s="361"/>
      <c r="M44" s="361"/>
      <c r="N44" s="361"/>
      <c r="O44" s="361"/>
      <c r="P44" s="361"/>
      <c r="Q44" s="362"/>
      <c r="R44" s="229"/>
      <c r="S44" s="360" t="e">
        <f>VLOOKUP(F19,'Product Info'!$A$53:$B$57,'Product Info'!$B$1,FALSE)</f>
        <v>#N/A</v>
      </c>
      <c r="T44" s="361"/>
      <c r="U44" s="361"/>
      <c r="V44" s="361"/>
      <c r="W44" s="361"/>
      <c r="X44" s="361"/>
      <c r="Y44" s="362"/>
    </row>
    <row r="45" spans="1:25">
      <c r="A45" s="167"/>
      <c r="B45" s="168"/>
      <c r="C45" s="168"/>
      <c r="D45" s="168"/>
      <c r="E45" s="168"/>
      <c r="F45" s="168"/>
      <c r="G45" s="168"/>
      <c r="H45" s="168"/>
      <c r="I45" s="168"/>
      <c r="J45" s="168"/>
      <c r="K45" s="363"/>
      <c r="L45" s="364"/>
      <c r="M45" s="364"/>
      <c r="N45" s="364"/>
      <c r="O45" s="364"/>
      <c r="P45" s="364"/>
      <c r="Q45" s="365"/>
      <c r="R45" s="229"/>
      <c r="S45" s="363"/>
      <c r="T45" s="364"/>
      <c r="U45" s="364"/>
      <c r="V45" s="364"/>
      <c r="W45" s="364"/>
      <c r="X45" s="364"/>
      <c r="Y45" s="365"/>
    </row>
    <row r="46" spans="1:25">
      <c r="A46" s="167"/>
      <c r="B46" s="168"/>
      <c r="C46" s="168"/>
      <c r="D46" s="168"/>
      <c r="E46" s="168"/>
      <c r="F46" s="168"/>
      <c r="G46" s="168"/>
      <c r="H46" s="168"/>
      <c r="I46" s="168"/>
      <c r="J46" s="168"/>
      <c r="K46" s="363"/>
      <c r="L46" s="364"/>
      <c r="M46" s="364"/>
      <c r="N46" s="364"/>
      <c r="O46" s="364"/>
      <c r="P46" s="364"/>
      <c r="Q46" s="365"/>
      <c r="R46" s="229"/>
      <c r="S46" s="363"/>
      <c r="T46" s="364"/>
      <c r="U46" s="364"/>
      <c r="V46" s="364"/>
      <c r="W46" s="364"/>
      <c r="X46" s="364"/>
      <c r="Y46" s="365"/>
    </row>
    <row r="47" spans="1:25">
      <c r="A47" s="167"/>
      <c r="B47" s="168"/>
      <c r="C47" s="168"/>
      <c r="D47" s="168"/>
      <c r="E47" s="168"/>
      <c r="F47" s="168"/>
      <c r="G47" s="168"/>
      <c r="H47" s="168"/>
      <c r="I47" s="168"/>
      <c r="J47" s="168"/>
      <c r="K47" s="363"/>
      <c r="L47" s="364"/>
      <c r="M47" s="364"/>
      <c r="N47" s="364"/>
      <c r="O47" s="364"/>
      <c r="P47" s="364"/>
      <c r="Q47" s="365"/>
      <c r="R47" s="229"/>
      <c r="S47" s="363"/>
      <c r="T47" s="364"/>
      <c r="U47" s="364"/>
      <c r="V47" s="364"/>
      <c r="W47" s="364"/>
      <c r="X47" s="364"/>
      <c r="Y47" s="365"/>
    </row>
    <row r="48" spans="1:25">
      <c r="A48" s="167"/>
      <c r="B48" s="168"/>
      <c r="C48" s="168"/>
      <c r="D48" s="168"/>
      <c r="E48" s="168"/>
      <c r="F48" s="168"/>
      <c r="G48" s="168"/>
      <c r="H48" s="168"/>
      <c r="I48" s="168"/>
      <c r="J48" s="168"/>
      <c r="K48" s="363"/>
      <c r="L48" s="364"/>
      <c r="M48" s="364"/>
      <c r="N48" s="364"/>
      <c r="O48" s="364"/>
      <c r="P48" s="364"/>
      <c r="Q48" s="365"/>
      <c r="R48" s="229"/>
      <c r="S48" s="363"/>
      <c r="T48" s="364"/>
      <c r="U48" s="364"/>
      <c r="V48" s="364"/>
      <c r="W48" s="364"/>
      <c r="X48" s="364"/>
      <c r="Y48" s="365"/>
    </row>
    <row r="49" spans="1:25">
      <c r="A49" s="167"/>
      <c r="B49" s="168"/>
      <c r="C49" s="168"/>
      <c r="D49" s="168"/>
      <c r="E49" s="168"/>
      <c r="F49" s="168"/>
      <c r="G49" s="168"/>
      <c r="H49" s="168"/>
      <c r="I49" s="168"/>
      <c r="J49" s="168"/>
      <c r="K49" s="363"/>
      <c r="L49" s="364"/>
      <c r="M49" s="364"/>
      <c r="N49" s="364"/>
      <c r="O49" s="364"/>
      <c r="P49" s="364"/>
      <c r="Q49" s="365"/>
      <c r="R49" s="229"/>
      <c r="S49" s="363"/>
      <c r="T49" s="364"/>
      <c r="U49" s="364"/>
      <c r="V49" s="364"/>
      <c r="W49" s="364"/>
      <c r="X49" s="364"/>
      <c r="Y49" s="365"/>
    </row>
    <row r="50" spans="1:25">
      <c r="A50" s="167"/>
      <c r="B50" s="168"/>
      <c r="C50" s="168"/>
      <c r="D50" s="168"/>
      <c r="E50" s="168"/>
      <c r="F50" s="168"/>
      <c r="G50" s="168"/>
      <c r="H50" s="168"/>
      <c r="I50" s="168"/>
      <c r="J50" s="168"/>
      <c r="K50" s="363"/>
      <c r="L50" s="364"/>
      <c r="M50" s="364"/>
      <c r="N50" s="364"/>
      <c r="O50" s="364"/>
      <c r="P50" s="364"/>
      <c r="Q50" s="365"/>
      <c r="R50" s="168"/>
      <c r="S50" s="363"/>
      <c r="T50" s="364"/>
      <c r="U50" s="364"/>
      <c r="V50" s="364"/>
      <c r="W50" s="364"/>
      <c r="X50" s="364"/>
      <c r="Y50" s="365"/>
    </row>
    <row r="51" spans="1:25" ht="14.5" thickBot="1">
      <c r="A51" s="167"/>
      <c r="B51" s="168"/>
      <c r="C51" s="168"/>
      <c r="D51" s="168"/>
      <c r="E51" s="168"/>
      <c r="F51" s="168"/>
      <c r="G51" s="168"/>
      <c r="H51" s="168"/>
      <c r="I51" s="168"/>
      <c r="J51" s="168"/>
      <c r="K51" s="366"/>
      <c r="L51" s="367"/>
      <c r="M51" s="367"/>
      <c r="N51" s="367"/>
      <c r="O51" s="367"/>
      <c r="P51" s="367"/>
      <c r="Q51" s="368"/>
      <c r="R51" s="168"/>
      <c r="S51" s="366"/>
      <c r="T51" s="367"/>
      <c r="U51" s="367"/>
      <c r="V51" s="367"/>
      <c r="W51" s="367"/>
      <c r="X51" s="367"/>
      <c r="Y51" s="368"/>
    </row>
    <row r="52" spans="1:25">
      <c r="A52" s="167"/>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70"/>
    </row>
    <row r="53" spans="1:25">
      <c r="A53" s="167"/>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70"/>
    </row>
    <row r="54" spans="1:25">
      <c r="A54" s="167"/>
      <c r="B54" s="168"/>
      <c r="C54" s="168"/>
      <c r="D54" s="168"/>
      <c r="E54" s="168"/>
      <c r="F54" s="168"/>
      <c r="G54" s="168"/>
      <c r="H54" s="168"/>
      <c r="I54" s="168"/>
      <c r="J54" s="168"/>
      <c r="K54" s="168"/>
      <c r="L54" s="168"/>
      <c r="M54" s="168"/>
      <c r="N54" s="168"/>
      <c r="O54" s="168"/>
      <c r="P54" s="168"/>
      <c r="Q54" s="168"/>
      <c r="R54" s="168"/>
      <c r="S54" s="168"/>
      <c r="T54" s="168"/>
      <c r="U54" s="168"/>
      <c r="V54" s="168"/>
      <c r="W54" s="168"/>
      <c r="X54" s="168"/>
      <c r="Y54" s="170"/>
    </row>
    <row r="55" spans="1:25" ht="25.5" thickBot="1">
      <c r="A55" s="167" t="s">
        <v>291</v>
      </c>
      <c r="B55" s="168"/>
      <c r="C55" s="168"/>
      <c r="D55" s="168"/>
      <c r="E55" s="168"/>
      <c r="F55" s="168"/>
      <c r="G55" s="354" t="s">
        <v>292</v>
      </c>
      <c r="H55" s="354"/>
      <c r="I55" s="233"/>
      <c r="J55" s="168"/>
      <c r="K55" s="168"/>
      <c r="L55" s="168"/>
      <c r="M55" s="245" t="s">
        <v>363</v>
      </c>
      <c r="P55" s="168"/>
      <c r="R55" s="168"/>
      <c r="T55" s="168"/>
      <c r="V55" s="168"/>
      <c r="W55" s="168"/>
      <c r="X55" s="168"/>
      <c r="Y55" s="170"/>
    </row>
    <row r="56" spans="1:25" ht="14.5" thickBot="1">
      <c r="A56" s="167"/>
      <c r="B56" s="168"/>
      <c r="C56" s="168"/>
      <c r="D56" s="168"/>
      <c r="E56" s="168"/>
      <c r="F56" s="168"/>
      <c r="G56" s="168"/>
      <c r="H56" s="168"/>
      <c r="I56" s="168"/>
      <c r="J56" s="168"/>
      <c r="K56" s="168"/>
      <c r="L56" s="168"/>
      <c r="M56" s="246"/>
      <c r="N56" s="165"/>
      <c r="O56" s="350" t="s">
        <v>384</v>
      </c>
      <c r="P56" s="351"/>
      <c r="Q56" s="349" t="s">
        <v>374</v>
      </c>
      <c r="R56" s="349"/>
      <c r="S56" s="350" t="s">
        <v>381</v>
      </c>
      <c r="T56" s="351"/>
      <c r="U56" s="349" t="s">
        <v>383</v>
      </c>
      <c r="V56" s="349"/>
      <c r="W56" s="358" t="s">
        <v>389</v>
      </c>
      <c r="X56" s="359"/>
      <c r="Y56" s="170"/>
    </row>
    <row r="57" spans="1:25" ht="15.5">
      <c r="A57" s="167"/>
      <c r="B57" s="168"/>
      <c r="C57" s="168"/>
      <c r="D57" s="168"/>
      <c r="E57" s="168"/>
      <c r="F57" s="168"/>
      <c r="G57" s="168"/>
      <c r="H57" s="168"/>
      <c r="I57" s="168"/>
      <c r="J57" s="168"/>
      <c r="K57" s="168"/>
      <c r="L57" s="278" t="s">
        <v>380</v>
      </c>
      <c r="M57" s="352" t="s">
        <v>386</v>
      </c>
      <c r="N57" s="353"/>
      <c r="O57" s="262">
        <f>IF($G$6&gt;=60,C186*0.8,C186)</f>
        <v>1100</v>
      </c>
      <c r="P57" s="248" t="s">
        <v>385</v>
      </c>
      <c r="Q57" s="247">
        <f>IF($A$19=A120,$C$19,$A$206)</f>
        <v>0</v>
      </c>
      <c r="R57" s="247" t="s">
        <v>375</v>
      </c>
      <c r="S57" s="262">
        <f>IF($A$19=A120,$D$19,$A$206)</f>
        <v>0</v>
      </c>
      <c r="T57" s="248" t="s">
        <v>382</v>
      </c>
      <c r="U57" s="247">
        <f>Q57*S57</f>
        <v>0</v>
      </c>
      <c r="V57" s="247" t="s">
        <v>375</v>
      </c>
      <c r="W57" s="266">
        <f>U57*O57</f>
        <v>0</v>
      </c>
      <c r="X57" s="267" t="s">
        <v>385</v>
      </c>
      <c r="Y57" s="170"/>
    </row>
    <row r="58" spans="1:25" ht="16" thickBot="1">
      <c r="A58" s="167"/>
      <c r="B58" s="168"/>
      <c r="C58" s="168"/>
      <c r="D58" s="168"/>
      <c r="E58" s="168"/>
      <c r="F58" s="168"/>
      <c r="G58" s="168"/>
      <c r="H58" s="168"/>
      <c r="I58" s="168"/>
      <c r="J58" s="168"/>
      <c r="K58" s="168"/>
      <c r="L58" s="279"/>
      <c r="M58" s="249"/>
      <c r="N58" s="250"/>
      <c r="O58" s="263"/>
      <c r="P58" s="252"/>
      <c r="Q58" s="251"/>
      <c r="R58" s="251"/>
      <c r="S58" s="263"/>
      <c r="T58" s="252"/>
      <c r="U58" s="251"/>
      <c r="V58" s="251"/>
      <c r="W58" s="268"/>
      <c r="X58" s="269"/>
      <c r="Y58" s="170"/>
    </row>
    <row r="59" spans="1:25" ht="15.5">
      <c r="A59" s="167"/>
      <c r="B59" s="168"/>
      <c r="C59" s="168"/>
      <c r="D59" s="168"/>
      <c r="E59" s="168"/>
      <c r="F59" s="168"/>
      <c r="G59" s="168"/>
      <c r="H59" s="168"/>
      <c r="I59" s="168"/>
      <c r="J59" s="168"/>
      <c r="K59" s="168"/>
      <c r="L59" s="278" t="s">
        <v>380</v>
      </c>
      <c r="M59" s="253" t="s">
        <v>306</v>
      </c>
      <c r="N59" s="254"/>
      <c r="O59" s="264">
        <f>IF($G$6&gt;=60,C188*0.8,C188)</f>
        <v>1940</v>
      </c>
      <c r="P59" s="256" t="s">
        <v>385</v>
      </c>
      <c r="Q59" s="255">
        <f>IF($A$19=A121,$C$19,$A$206)</f>
        <v>0</v>
      </c>
      <c r="R59" s="255" t="s">
        <v>375</v>
      </c>
      <c r="S59" s="264">
        <f>IF($A$19=A121,$D$19,$A$206)</f>
        <v>0</v>
      </c>
      <c r="T59" s="256" t="s">
        <v>382</v>
      </c>
      <c r="U59" s="255">
        <f>Q59*S59</f>
        <v>0</v>
      </c>
      <c r="V59" s="255" t="s">
        <v>375</v>
      </c>
      <c r="W59" s="270">
        <f>U59*O59</f>
        <v>0</v>
      </c>
      <c r="X59" s="271" t="s">
        <v>385</v>
      </c>
      <c r="Y59" s="170"/>
    </row>
    <row r="60" spans="1:25" ht="16" thickBot="1">
      <c r="A60" s="167"/>
      <c r="B60" s="168"/>
      <c r="C60" s="168"/>
      <c r="D60" s="168"/>
      <c r="E60" s="168"/>
      <c r="F60" s="168"/>
      <c r="G60" s="168"/>
      <c r="H60" s="168"/>
      <c r="I60" s="168"/>
      <c r="J60" s="168"/>
      <c r="K60" s="168"/>
      <c r="L60" s="279"/>
      <c r="M60" s="253"/>
      <c r="N60" s="254"/>
      <c r="O60" s="264"/>
      <c r="P60" s="256"/>
      <c r="Q60" s="255"/>
      <c r="R60" s="255"/>
      <c r="S60" s="264"/>
      <c r="T60" s="256"/>
      <c r="U60" s="255"/>
      <c r="V60" s="255"/>
      <c r="W60" s="272"/>
      <c r="X60" s="271"/>
      <c r="Y60" s="170"/>
    </row>
    <row r="61" spans="1:25" ht="15.5">
      <c r="A61" s="167"/>
      <c r="B61" s="168"/>
      <c r="C61" s="168"/>
      <c r="D61" s="168"/>
      <c r="E61" s="168"/>
      <c r="F61" s="168"/>
      <c r="G61" s="168"/>
      <c r="H61" s="168"/>
      <c r="I61" s="168"/>
      <c r="J61" s="168"/>
      <c r="K61" s="168"/>
      <c r="L61" s="278" t="s">
        <v>380</v>
      </c>
      <c r="M61" s="257" t="s">
        <v>356</v>
      </c>
      <c r="N61" s="258"/>
      <c r="O61" s="262">
        <f>IF($G$6&gt;=60,C192*0.8,C192)</f>
        <v>1185</v>
      </c>
      <c r="P61" s="248" t="s">
        <v>385</v>
      </c>
      <c r="Q61" s="247">
        <f>IF($A$19=A123,$C$19,$A$206)</f>
        <v>0</v>
      </c>
      <c r="R61" s="247" t="s">
        <v>376</v>
      </c>
      <c r="S61" s="262">
        <f>IF($A$19=A123,$D$19,$A$206)</f>
        <v>0</v>
      </c>
      <c r="T61" s="248" t="s">
        <v>382</v>
      </c>
      <c r="U61" s="247">
        <f>Q61*S61</f>
        <v>0</v>
      </c>
      <c r="V61" s="247" t="s">
        <v>376</v>
      </c>
      <c r="W61" s="266">
        <f>U61*O61</f>
        <v>0</v>
      </c>
      <c r="X61" s="267" t="s">
        <v>385</v>
      </c>
      <c r="Y61" s="170"/>
    </row>
    <row r="62" spans="1:25" ht="16" thickBot="1">
      <c r="A62" s="167"/>
      <c r="B62" s="168"/>
      <c r="C62" s="168"/>
      <c r="D62" s="168"/>
      <c r="E62" s="168"/>
      <c r="F62" s="168"/>
      <c r="G62" s="168"/>
      <c r="H62" s="168"/>
      <c r="I62" s="168"/>
      <c r="J62" s="168"/>
      <c r="K62" s="168"/>
      <c r="L62" s="279"/>
      <c r="M62" s="249"/>
      <c r="N62" s="250"/>
      <c r="O62" s="263"/>
      <c r="P62" s="252"/>
      <c r="Q62" s="251"/>
      <c r="R62" s="251"/>
      <c r="S62" s="263"/>
      <c r="T62" s="252"/>
      <c r="U62" s="251"/>
      <c r="V62" s="251"/>
      <c r="W62" s="268"/>
      <c r="X62" s="269"/>
      <c r="Y62" s="170"/>
    </row>
    <row r="63" spans="1:25" ht="15.5">
      <c r="A63" s="167"/>
      <c r="B63" s="168"/>
      <c r="C63" s="168"/>
      <c r="D63" s="168"/>
      <c r="E63" s="168"/>
      <c r="F63" s="168"/>
      <c r="G63" s="168"/>
      <c r="H63" s="168"/>
      <c r="I63" s="168"/>
      <c r="J63" s="168"/>
      <c r="K63" s="168"/>
      <c r="L63" s="278" t="s">
        <v>380</v>
      </c>
      <c r="M63" s="253" t="s">
        <v>355</v>
      </c>
      <c r="N63" s="254"/>
      <c r="O63" s="265">
        <f>IF($G$6&gt;=60,C194*0.8,C194)</f>
        <v>557</v>
      </c>
      <c r="P63" s="256" t="s">
        <v>385</v>
      </c>
      <c r="Q63" s="255">
        <f>IF($A$19=A124,$C$19,$A$206)</f>
        <v>0</v>
      </c>
      <c r="R63" s="255" t="s">
        <v>376</v>
      </c>
      <c r="S63" s="264">
        <f>IF($A$19=A124,$D$19,$A$206)</f>
        <v>0</v>
      </c>
      <c r="T63" s="256" t="s">
        <v>382</v>
      </c>
      <c r="U63" s="255">
        <f>Q63*S63</f>
        <v>0</v>
      </c>
      <c r="V63" s="255" t="s">
        <v>376</v>
      </c>
      <c r="W63" s="270">
        <f>U63*O63</f>
        <v>0</v>
      </c>
      <c r="X63" s="271" t="s">
        <v>385</v>
      </c>
      <c r="Y63" s="170"/>
    </row>
    <row r="64" spans="1:25" ht="16" thickBot="1">
      <c r="A64" s="167"/>
      <c r="B64" s="168"/>
      <c r="C64" s="168"/>
      <c r="D64" s="168"/>
      <c r="E64" s="168"/>
      <c r="F64" s="168"/>
      <c r="G64" s="168"/>
      <c r="H64" s="168"/>
      <c r="I64" s="168"/>
      <c r="J64" s="168"/>
      <c r="K64" s="168"/>
      <c r="L64" s="168"/>
      <c r="M64" s="253"/>
      <c r="N64" s="254"/>
      <c r="O64" s="264"/>
      <c r="P64" s="256"/>
      <c r="Q64" s="255"/>
      <c r="R64" s="255"/>
      <c r="S64" s="264"/>
      <c r="T64" s="256"/>
      <c r="U64" s="255"/>
      <c r="V64" s="255"/>
      <c r="W64" s="272"/>
      <c r="X64" s="271"/>
      <c r="Y64" s="170"/>
    </row>
    <row r="65" spans="1:25" ht="15.5">
      <c r="A65" s="167"/>
      <c r="B65" s="168"/>
      <c r="C65" s="168"/>
      <c r="D65" s="168"/>
      <c r="E65" s="168"/>
      <c r="F65" s="168"/>
      <c r="G65" s="168"/>
      <c r="H65" s="168"/>
      <c r="I65" s="168"/>
      <c r="J65" s="168"/>
      <c r="K65" s="168"/>
      <c r="L65" s="168"/>
      <c r="M65" s="257" t="s">
        <v>358</v>
      </c>
      <c r="N65" s="258"/>
      <c r="O65" s="262">
        <v>1055</v>
      </c>
      <c r="P65" s="248" t="s">
        <v>385</v>
      </c>
      <c r="Q65" s="247">
        <f>IF($A$24=A130,$C$24,$A$206)</f>
        <v>0</v>
      </c>
      <c r="R65" s="247" t="s">
        <v>377</v>
      </c>
      <c r="S65" s="262">
        <f>IF($A$24=A130,$D$24,$A$206)</f>
        <v>0</v>
      </c>
      <c r="T65" s="248" t="s">
        <v>382</v>
      </c>
      <c r="U65" s="247">
        <f>ROUNDUP(Q65*S65*Database!C4/400,0)</f>
        <v>0</v>
      </c>
      <c r="V65" s="247" t="s">
        <v>387</v>
      </c>
      <c r="W65" s="273">
        <f>O65*U65</f>
        <v>0</v>
      </c>
      <c r="X65" s="267" t="s">
        <v>385</v>
      </c>
      <c r="Y65" s="170"/>
    </row>
    <row r="66" spans="1:25" ht="16" thickBot="1">
      <c r="A66" s="167"/>
      <c r="B66" s="168"/>
      <c r="C66" s="168"/>
      <c r="D66" s="168"/>
      <c r="E66" s="168"/>
      <c r="F66" s="168"/>
      <c r="G66" s="168"/>
      <c r="H66" s="168"/>
      <c r="I66" s="168"/>
      <c r="J66" s="168"/>
      <c r="K66" s="168"/>
      <c r="L66" s="168"/>
      <c r="M66" s="249"/>
      <c r="N66" s="250"/>
      <c r="O66" s="263"/>
      <c r="P66" s="252"/>
      <c r="Q66" s="251"/>
      <c r="R66" s="251"/>
      <c r="S66" s="263"/>
      <c r="T66" s="252"/>
      <c r="U66" s="251"/>
      <c r="V66" s="251"/>
      <c r="W66" s="268"/>
      <c r="X66" s="269"/>
      <c r="Y66" s="170"/>
    </row>
    <row r="67" spans="1:25" ht="15.5">
      <c r="A67" s="167"/>
      <c r="B67" s="168"/>
      <c r="C67" s="168"/>
      <c r="D67" s="168"/>
      <c r="E67" s="168"/>
      <c r="F67" s="168"/>
      <c r="G67" s="168"/>
      <c r="H67" s="168"/>
      <c r="I67" s="168"/>
      <c r="J67" s="168"/>
      <c r="K67" s="168"/>
      <c r="L67" s="168"/>
      <c r="M67" s="253" t="s">
        <v>359</v>
      </c>
      <c r="N67" s="254"/>
      <c r="O67" s="264">
        <v>325</v>
      </c>
      <c r="P67" s="256" t="s">
        <v>385</v>
      </c>
      <c r="Q67" s="255">
        <f>IF($A$24=A131,$C$24,$A$206)</f>
        <v>0</v>
      </c>
      <c r="R67" s="255" t="s">
        <v>390</v>
      </c>
      <c r="S67" s="264">
        <f>IF($A$24=A131,$D$24,$A$206)</f>
        <v>0</v>
      </c>
      <c r="T67" s="256" t="s">
        <v>382</v>
      </c>
      <c r="U67" s="255">
        <f>Q67*S67</f>
        <v>0</v>
      </c>
      <c r="V67" s="255" t="s">
        <v>378</v>
      </c>
      <c r="W67" s="270">
        <f>U67*O67</f>
        <v>0</v>
      </c>
      <c r="X67" s="271" t="s">
        <v>385</v>
      </c>
      <c r="Y67" s="170"/>
    </row>
    <row r="68" spans="1:25" ht="16" thickBot="1">
      <c r="A68" s="167"/>
      <c r="B68" s="168"/>
      <c r="C68" s="168"/>
      <c r="D68" s="168"/>
      <c r="E68" s="168"/>
      <c r="F68" s="168"/>
      <c r="G68" s="168"/>
      <c r="H68" s="168"/>
      <c r="I68" s="168"/>
      <c r="J68" s="168"/>
      <c r="K68" s="168"/>
      <c r="L68" s="168"/>
      <c r="M68" s="253"/>
      <c r="N68" s="254"/>
      <c r="O68" s="264"/>
      <c r="P68" s="256"/>
      <c r="Q68" s="255"/>
      <c r="R68" s="255"/>
      <c r="S68" s="264"/>
      <c r="T68" s="256"/>
      <c r="U68" s="255"/>
      <c r="V68" s="255"/>
      <c r="W68" s="272"/>
      <c r="X68" s="271"/>
      <c r="Y68" s="170"/>
    </row>
    <row r="69" spans="1:25" ht="15.5">
      <c r="A69" s="167"/>
      <c r="B69" s="168"/>
      <c r="C69" s="168"/>
      <c r="D69" s="168"/>
      <c r="E69" s="168"/>
      <c r="F69" s="168"/>
      <c r="G69" s="168"/>
      <c r="H69" s="168"/>
      <c r="I69" s="168"/>
      <c r="J69" s="168"/>
      <c r="K69" s="168"/>
      <c r="L69" s="243"/>
      <c r="M69" s="257" t="s">
        <v>357</v>
      </c>
      <c r="N69" s="258"/>
      <c r="O69" s="262">
        <v>383</v>
      </c>
      <c r="P69" s="248" t="s">
        <v>385</v>
      </c>
      <c r="Q69" s="247">
        <f>IF($A$24=A133,$C$24,$A$206)</f>
        <v>0</v>
      </c>
      <c r="R69" s="247" t="s">
        <v>379</v>
      </c>
      <c r="S69" s="262">
        <f>IF($A$24=A133,$D$24,$A$206)</f>
        <v>0</v>
      </c>
      <c r="T69" s="248" t="s">
        <v>382</v>
      </c>
      <c r="U69" s="247">
        <f>ROUNDUP(Q69*S69/6,0)</f>
        <v>0</v>
      </c>
      <c r="V69" s="247" t="s">
        <v>388</v>
      </c>
      <c r="W69" s="266">
        <f>U69*O70</f>
        <v>0</v>
      </c>
      <c r="X69" s="267" t="s">
        <v>385</v>
      </c>
      <c r="Y69" s="170"/>
    </row>
    <row r="70" spans="1:25" ht="16" thickBot="1">
      <c r="A70" s="167"/>
      <c r="B70" s="168"/>
      <c r="C70" s="168"/>
      <c r="D70" s="168"/>
      <c r="E70" s="168"/>
      <c r="F70" s="168"/>
      <c r="G70" s="168"/>
      <c r="H70" s="168"/>
      <c r="I70" s="168"/>
      <c r="J70" s="168"/>
      <c r="K70" s="168"/>
      <c r="L70" s="168"/>
      <c r="M70" s="249"/>
      <c r="N70" s="250" t="s">
        <v>392</v>
      </c>
      <c r="O70" s="263">
        <v>1516</v>
      </c>
      <c r="P70" s="252" t="s">
        <v>385</v>
      </c>
      <c r="Q70" s="251"/>
      <c r="R70" s="251"/>
      <c r="S70" s="263"/>
      <c r="T70" s="252"/>
      <c r="U70" s="251"/>
      <c r="V70" s="251"/>
      <c r="W70" s="268"/>
      <c r="X70" s="269"/>
      <c r="Y70" s="170"/>
    </row>
    <row r="71" spans="1:25" ht="15.5">
      <c r="A71" s="167"/>
      <c r="B71" s="168"/>
      <c r="C71" s="168"/>
      <c r="D71" s="168"/>
      <c r="E71" s="168"/>
      <c r="F71" s="168"/>
      <c r="G71" s="168"/>
      <c r="H71" s="168"/>
      <c r="I71" s="168"/>
      <c r="J71" s="168"/>
      <c r="K71" s="168"/>
      <c r="L71" s="168"/>
      <c r="M71" s="253" t="s">
        <v>361</v>
      </c>
      <c r="N71" s="254"/>
      <c r="O71" s="264">
        <v>120</v>
      </c>
      <c r="P71" s="256" t="s">
        <v>385</v>
      </c>
      <c r="Q71" s="255">
        <f>IF($A$24=A132,$C$24,$A$206)</f>
        <v>0</v>
      </c>
      <c r="R71" s="255" t="s">
        <v>379</v>
      </c>
      <c r="S71" s="264">
        <f>IF($A$24=A132,$D$24,$A$206)</f>
        <v>0</v>
      </c>
      <c r="T71" s="256" t="s">
        <v>382</v>
      </c>
      <c r="U71" s="255">
        <f>Q71*S71</f>
        <v>0</v>
      </c>
      <c r="V71" s="255" t="s">
        <v>379</v>
      </c>
      <c r="W71" s="270">
        <f>U71*O71</f>
        <v>0</v>
      </c>
      <c r="X71" s="271" t="s">
        <v>385</v>
      </c>
      <c r="Y71" s="170"/>
    </row>
    <row r="72" spans="1:25" ht="16" thickBot="1">
      <c r="A72" s="167"/>
      <c r="B72" s="168"/>
      <c r="C72" s="168"/>
      <c r="D72" s="168"/>
      <c r="E72" s="168"/>
      <c r="F72" s="168"/>
      <c r="G72" s="168"/>
      <c r="H72" s="168"/>
      <c r="I72" s="168"/>
      <c r="J72" s="168"/>
      <c r="K72" s="168"/>
      <c r="M72" s="259"/>
      <c r="N72" s="260"/>
      <c r="O72" s="259"/>
      <c r="P72" s="261"/>
      <c r="Q72" s="260"/>
      <c r="R72" s="260"/>
      <c r="S72" s="259"/>
      <c r="T72" s="261"/>
      <c r="U72" s="260"/>
      <c r="V72" s="260"/>
      <c r="W72" s="274"/>
      <c r="X72" s="275"/>
      <c r="Y72" s="170"/>
    </row>
    <row r="73" spans="1:25" ht="14.5" thickBot="1">
      <c r="A73" s="167"/>
      <c r="B73" s="168"/>
      <c r="C73" s="168"/>
      <c r="D73" s="168"/>
      <c r="E73" s="168"/>
      <c r="F73" s="168"/>
      <c r="G73" s="168"/>
      <c r="H73" s="168"/>
      <c r="I73" s="168"/>
      <c r="J73" s="168"/>
      <c r="K73" s="168"/>
      <c r="W73" s="168"/>
      <c r="X73" s="168"/>
      <c r="Y73" s="170"/>
    </row>
    <row r="74" spans="1:25">
      <c r="A74" s="167"/>
      <c r="B74" s="168"/>
      <c r="C74" s="168"/>
      <c r="D74" s="168"/>
      <c r="E74" s="168"/>
      <c r="F74" s="168"/>
      <c r="G74" s="168"/>
      <c r="H74" s="168"/>
      <c r="I74" s="168"/>
      <c r="J74" s="168"/>
      <c r="K74" s="168"/>
      <c r="L74" s="168"/>
      <c r="M74" s="235"/>
      <c r="N74" s="235"/>
      <c r="Q74" s="168"/>
      <c r="R74" s="168"/>
      <c r="S74" s="168"/>
      <c r="T74" s="168"/>
      <c r="U74" s="168"/>
      <c r="V74" s="343">
        <f>W57+W59+W61+W63+W65+W67+W69+W71</f>
        <v>0</v>
      </c>
      <c r="W74" s="344"/>
      <c r="X74" s="345"/>
      <c r="Y74" s="170"/>
    </row>
    <row r="75" spans="1:25" ht="14.5" thickBot="1">
      <c r="A75" s="236" t="s">
        <v>372</v>
      </c>
      <c r="B75" s="168"/>
      <c r="C75" s="168"/>
      <c r="D75" s="168"/>
      <c r="E75" s="168"/>
      <c r="F75" s="168"/>
      <c r="G75" s="168"/>
      <c r="H75" s="168"/>
      <c r="I75" s="168"/>
      <c r="J75" s="168"/>
      <c r="K75" s="168"/>
      <c r="L75" s="168"/>
      <c r="M75" s="235"/>
      <c r="N75" s="235"/>
      <c r="Q75" s="168"/>
      <c r="R75" s="168"/>
      <c r="S75" s="168"/>
      <c r="T75" s="168"/>
      <c r="U75" s="168"/>
      <c r="V75" s="346"/>
      <c r="W75" s="347"/>
      <c r="X75" s="348"/>
      <c r="Y75" s="170" t="s">
        <v>385</v>
      </c>
    </row>
    <row r="76" spans="1:25">
      <c r="A76" s="236" t="s">
        <v>255</v>
      </c>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70"/>
    </row>
    <row r="77" spans="1:25">
      <c r="A77" s="167"/>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70"/>
    </row>
    <row r="78" spans="1:25" ht="14.5" thickBot="1">
      <c r="A78" s="237"/>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9"/>
    </row>
    <row r="99" spans="1:12">
      <c r="H99" s="151" t="s">
        <v>233</v>
      </c>
      <c r="I99" s="151"/>
      <c r="J99" s="151" t="s">
        <v>237</v>
      </c>
      <c r="K99" s="151" t="s">
        <v>238</v>
      </c>
      <c r="L99" s="151" t="s">
        <v>239</v>
      </c>
    </row>
    <row r="100" spans="1:12">
      <c r="A100" s="38" t="s">
        <v>173</v>
      </c>
      <c r="H100" s="151" t="s">
        <v>235</v>
      </c>
      <c r="I100" s="151"/>
      <c r="J100" s="151">
        <f>Database!D46+C16</f>
        <v>0</v>
      </c>
      <c r="K100" s="151">
        <f>VLOOKUP($F$13,'Target Calory &amp; Protein'!$A$2:$E$17,2,FALSE)*$B$8</f>
        <v>0</v>
      </c>
      <c r="L100" s="151">
        <f>VLOOKUP($F$13,'Target Calory &amp; Protein'!$A$2:$E$17,3,FALSE)*'For Doctor'!$B$8</f>
        <v>0</v>
      </c>
    </row>
    <row r="101" spans="1:12">
      <c r="A101" s="38" t="s">
        <v>174</v>
      </c>
      <c r="H101" s="151" t="s">
        <v>303</v>
      </c>
      <c r="I101" s="151"/>
      <c r="J101" s="151">
        <f>C16</f>
        <v>0</v>
      </c>
      <c r="K101" s="151">
        <f>VLOOKUP($F$13,'Target Calory &amp; Protein'!$A$2:$E$17,2,FALSE)*$B$8</f>
        <v>0</v>
      </c>
      <c r="L101" s="151">
        <f>VLOOKUP($F$13,'Target Calory &amp; Protein'!$A$2:$E$17,3,FALSE)*'For Doctor'!$B$8</f>
        <v>0</v>
      </c>
    </row>
    <row r="102" spans="1:12">
      <c r="H102" s="151" t="s">
        <v>111</v>
      </c>
      <c r="I102" s="151"/>
      <c r="J102" s="151">
        <f>Database!D47</f>
        <v>0</v>
      </c>
      <c r="K102" s="151">
        <f>VLOOKUP($F$13,'Target Calory &amp; Protein'!$A$2:$E$17,2,FALSE)*$B$8</f>
        <v>0</v>
      </c>
      <c r="L102" s="151">
        <f>VLOOKUP($F$13,'Target Calory &amp; Protein'!$A$2:$E$17,3,FALSE)*'For Doctor'!$B$8</f>
        <v>0</v>
      </c>
    </row>
    <row r="103" spans="1:12">
      <c r="H103" s="151" t="s">
        <v>240</v>
      </c>
      <c r="I103" s="151"/>
      <c r="J103" s="151">
        <f>Database!D48</f>
        <v>0</v>
      </c>
      <c r="K103" s="151">
        <f>VLOOKUP($F$13,'Target Calory &amp; Protein'!$A$2:$E$17,2,FALSE)*$B$8</f>
        <v>0</v>
      </c>
      <c r="L103" s="151">
        <f>VLOOKUP($F$13,'Target Calory &amp; Protein'!$A$2:$E$17,3,FALSE)*'For Doctor'!$B$8</f>
        <v>0</v>
      </c>
    </row>
    <row r="104" spans="1:12">
      <c r="A104" s="38" t="s">
        <v>183</v>
      </c>
    </row>
    <row r="105" spans="1:12">
      <c r="A105" s="240" t="s">
        <v>184</v>
      </c>
    </row>
    <row r="106" spans="1:12">
      <c r="A106" s="38" t="s">
        <v>185</v>
      </c>
      <c r="H106" s="151" t="s">
        <v>243</v>
      </c>
      <c r="I106" s="151"/>
      <c r="J106" s="151" t="s">
        <v>237</v>
      </c>
      <c r="K106" s="151" t="s">
        <v>238</v>
      </c>
      <c r="L106" s="151" t="s">
        <v>239</v>
      </c>
    </row>
    <row r="107" spans="1:12">
      <c r="A107" s="38" t="s">
        <v>186</v>
      </c>
      <c r="H107" s="151" t="s">
        <v>235</v>
      </c>
      <c r="I107" s="151"/>
      <c r="J107" s="151">
        <f>Database!F46+F16</f>
        <v>0</v>
      </c>
      <c r="K107" s="151">
        <f>VLOOKUP($F$13,'Target Calory &amp; Protein'!$A$2:$E$17,4,FALSE)*$B$8</f>
        <v>0</v>
      </c>
      <c r="L107" s="151">
        <f>VLOOKUP($F$13,'Target Calory &amp; Protein'!$A$2:$E$17,5,FALSE)*'For Doctor'!$B$8</f>
        <v>0</v>
      </c>
    </row>
    <row r="108" spans="1:12">
      <c r="H108" s="151" t="s">
        <v>307</v>
      </c>
      <c r="I108" s="151"/>
      <c r="J108" s="151">
        <f>F16</f>
        <v>0</v>
      </c>
      <c r="K108" s="151">
        <f>VLOOKUP($F$13,'Target Calory &amp; Protein'!$A$2:$E$17,4,FALSE)*$B$8</f>
        <v>0</v>
      </c>
      <c r="L108" s="151">
        <f>VLOOKUP($F$13,'Target Calory &amp; Protein'!$A$2:$E$17,5,FALSE)*'For Doctor'!$B$8</f>
        <v>0</v>
      </c>
    </row>
    <row r="109" spans="1:12">
      <c r="A109" s="38" t="s">
        <v>187</v>
      </c>
      <c r="H109" s="151" t="s">
        <v>111</v>
      </c>
      <c r="I109" s="151"/>
      <c r="J109" s="151">
        <f>Database!F47</f>
        <v>0</v>
      </c>
      <c r="K109" s="151">
        <f>VLOOKUP($F$13,'Target Calory &amp; Protein'!$A$2:$E$17,4,FALSE)*$B$8</f>
        <v>0</v>
      </c>
      <c r="L109" s="151">
        <f>VLOOKUP($F$13,'Target Calory &amp; Protein'!$A$2:$E$17,5,FALSE)*'For Doctor'!$B$8</f>
        <v>0</v>
      </c>
    </row>
    <row r="110" spans="1:12">
      <c r="A110" s="38" t="s">
        <v>188</v>
      </c>
      <c r="H110" s="151" t="s">
        <v>240</v>
      </c>
      <c r="I110" s="151"/>
      <c r="J110" s="151">
        <f>Database!F48</f>
        <v>0</v>
      </c>
      <c r="K110" s="151">
        <f>VLOOKUP($F$13,'Target Calory &amp; Protein'!$A$2:$E$17,4,FALSE)*$B$8</f>
        <v>0</v>
      </c>
      <c r="L110" s="151">
        <f>VLOOKUP($F$13,'Target Calory &amp; Protein'!$A$2:$E$17,5,FALSE)*'For Doctor'!$B$8</f>
        <v>0</v>
      </c>
    </row>
    <row r="111" spans="1:12">
      <c r="A111" s="38" t="s">
        <v>189</v>
      </c>
    </row>
    <row r="112" spans="1:12">
      <c r="A112" s="38" t="s">
        <v>190</v>
      </c>
    </row>
    <row r="113" spans="1:1">
      <c r="A113" s="38" t="s">
        <v>191</v>
      </c>
    </row>
    <row r="114" spans="1:1">
      <c r="A114" s="38" t="s">
        <v>192</v>
      </c>
    </row>
    <row r="115" spans="1:1">
      <c r="A115" s="38" t="s">
        <v>193</v>
      </c>
    </row>
    <row r="116" spans="1:1">
      <c r="A116" s="38" t="s">
        <v>194</v>
      </c>
    </row>
    <row r="117" spans="1:1">
      <c r="A117" s="38" t="s">
        <v>373</v>
      </c>
    </row>
    <row r="119" spans="1:1">
      <c r="A119" s="241"/>
    </row>
    <row r="120" spans="1:1">
      <c r="A120" s="151" t="s">
        <v>112</v>
      </c>
    </row>
    <row r="121" spans="1:1">
      <c r="A121" s="151" t="s">
        <v>306</v>
      </c>
    </row>
    <row r="122" spans="1:1">
      <c r="A122" s="151" t="s">
        <v>215</v>
      </c>
    </row>
    <row r="123" spans="1:1">
      <c r="A123" s="151" t="s">
        <v>319</v>
      </c>
    </row>
    <row r="124" spans="1:1">
      <c r="A124" s="151" t="s">
        <v>320</v>
      </c>
    </row>
    <row r="125" spans="1:1">
      <c r="A125" s="151" t="s">
        <v>216</v>
      </c>
    </row>
    <row r="130" spans="1:1">
      <c r="A130" s="157" t="s">
        <v>84</v>
      </c>
    </row>
    <row r="131" spans="1:1">
      <c r="A131" s="157" t="s">
        <v>272</v>
      </c>
    </row>
    <row r="132" spans="1:1">
      <c r="A132" s="157" t="s">
        <v>273</v>
      </c>
    </row>
    <row r="133" spans="1:1" ht="28">
      <c r="A133" s="157" t="s">
        <v>274</v>
      </c>
    </row>
    <row r="134" spans="1:1">
      <c r="A134" s="158" t="s">
        <v>113</v>
      </c>
    </row>
    <row r="135" spans="1:1">
      <c r="A135" s="242"/>
    </row>
    <row r="136" spans="1:1">
      <c r="A136" s="38">
        <v>1</v>
      </c>
    </row>
    <row r="137" spans="1:1">
      <c r="A137" s="38">
        <v>2</v>
      </c>
    </row>
    <row r="138" spans="1:1">
      <c r="A138" s="38">
        <v>3</v>
      </c>
    </row>
    <row r="139" spans="1:1">
      <c r="A139" s="38">
        <v>4</v>
      </c>
    </row>
    <row r="140" spans="1:1">
      <c r="A140" s="38">
        <v>5</v>
      </c>
    </row>
    <row r="141" spans="1:1">
      <c r="A141" s="38">
        <v>6</v>
      </c>
    </row>
    <row r="142" spans="1:1">
      <c r="A142" s="38">
        <v>7</v>
      </c>
    </row>
    <row r="143" spans="1:1">
      <c r="A143" s="38">
        <v>8</v>
      </c>
    </row>
    <row r="144" spans="1:1">
      <c r="A144" s="38">
        <v>9</v>
      </c>
    </row>
    <row r="145" spans="1:1">
      <c r="A145" s="38">
        <v>10</v>
      </c>
    </row>
    <row r="146" spans="1:1">
      <c r="A146" s="38">
        <v>11</v>
      </c>
    </row>
    <row r="147" spans="1:1">
      <c r="A147" s="38">
        <v>12</v>
      </c>
    </row>
    <row r="148" spans="1:1">
      <c r="A148" s="38">
        <v>13</v>
      </c>
    </row>
    <row r="149" spans="1:1">
      <c r="A149" s="38">
        <v>14</v>
      </c>
    </row>
    <row r="150" spans="1:1">
      <c r="A150" s="38">
        <v>15</v>
      </c>
    </row>
    <row r="151" spans="1:1">
      <c r="A151" s="38">
        <v>16</v>
      </c>
    </row>
    <row r="152" spans="1:1">
      <c r="A152" s="38">
        <v>17</v>
      </c>
    </row>
    <row r="153" spans="1:1">
      <c r="A153" s="38">
        <v>18</v>
      </c>
    </row>
    <row r="154" spans="1:1">
      <c r="A154" s="38">
        <v>19</v>
      </c>
    </row>
    <row r="155" spans="1:1">
      <c r="A155" s="38">
        <v>20</v>
      </c>
    </row>
    <row r="156" spans="1:1">
      <c r="A156" s="38">
        <v>21</v>
      </c>
    </row>
    <row r="157" spans="1:1">
      <c r="A157" s="38">
        <v>22</v>
      </c>
    </row>
    <row r="158" spans="1:1">
      <c r="A158" s="38">
        <v>23</v>
      </c>
    </row>
    <row r="159" spans="1:1">
      <c r="A159" s="38">
        <v>24</v>
      </c>
    </row>
    <row r="160" spans="1:1">
      <c r="A160" s="38">
        <v>25</v>
      </c>
    </row>
    <row r="161" spans="1:1">
      <c r="A161" s="38">
        <v>26</v>
      </c>
    </row>
    <row r="162" spans="1:1">
      <c r="A162" s="38">
        <v>27</v>
      </c>
    </row>
    <row r="163" spans="1:1">
      <c r="A163" s="38">
        <v>28</v>
      </c>
    </row>
    <row r="164" spans="1:1">
      <c r="A164" s="38">
        <v>29</v>
      </c>
    </row>
    <row r="165" spans="1:1">
      <c r="A165" s="38">
        <v>30</v>
      </c>
    </row>
    <row r="168" spans="1:1">
      <c r="A168" s="38" t="s">
        <v>206</v>
      </c>
    </row>
    <row r="169" spans="1:1">
      <c r="A169" s="38" t="s">
        <v>196</v>
      </c>
    </row>
    <row r="170" spans="1:1">
      <c r="A170" s="38" t="s">
        <v>197</v>
      </c>
    </row>
    <row r="171" spans="1:1">
      <c r="A171" s="38" t="s">
        <v>198</v>
      </c>
    </row>
    <row r="172" spans="1:1">
      <c r="A172" s="151" t="s">
        <v>224</v>
      </c>
    </row>
    <row r="173" spans="1:1">
      <c r="A173" s="151" t="s">
        <v>223</v>
      </c>
    </row>
    <row r="174" spans="1:1">
      <c r="A174" s="151" t="s">
        <v>222</v>
      </c>
    </row>
    <row r="175" spans="1:1">
      <c r="A175" s="151" t="s">
        <v>221</v>
      </c>
    </row>
    <row r="176" spans="1:1">
      <c r="A176" s="38" t="s">
        <v>199</v>
      </c>
    </row>
    <row r="177" spans="1:4">
      <c r="A177" s="38" t="s">
        <v>200</v>
      </c>
    </row>
    <row r="178" spans="1:4">
      <c r="A178" s="38" t="s">
        <v>201</v>
      </c>
    </row>
    <row r="179" spans="1:4">
      <c r="A179" s="38" t="s">
        <v>202</v>
      </c>
    </row>
    <row r="180" spans="1:4">
      <c r="A180" s="38" t="s">
        <v>205</v>
      </c>
    </row>
    <row r="181" spans="1:4">
      <c r="A181" s="38" t="s">
        <v>203</v>
      </c>
    </row>
    <row r="182" spans="1:4">
      <c r="A182" s="38" t="s">
        <v>204</v>
      </c>
    </row>
    <row r="186" spans="1:4">
      <c r="A186" s="342" t="s">
        <v>386</v>
      </c>
      <c r="B186" s="342"/>
      <c r="C186" s="38">
        <v>1100</v>
      </c>
      <c r="D186" s="38" t="s">
        <v>385</v>
      </c>
    </row>
    <row r="187" spans="1:4">
      <c r="A187" s="234"/>
      <c r="B187" s="235"/>
    </row>
    <row r="188" spans="1:4">
      <c r="A188" s="235" t="s">
        <v>306</v>
      </c>
      <c r="B188" s="235"/>
      <c r="C188" s="38">
        <v>1940</v>
      </c>
      <c r="D188" s="38" t="s">
        <v>385</v>
      </c>
    </row>
    <row r="189" spans="1:4">
      <c r="A189" s="235"/>
      <c r="B189" s="235"/>
    </row>
    <row r="190" spans="1:4">
      <c r="A190" s="235" t="s">
        <v>354</v>
      </c>
      <c r="B190" s="235"/>
      <c r="D190" s="38" t="s">
        <v>385</v>
      </c>
    </row>
    <row r="191" spans="1:4">
      <c r="A191" s="235"/>
      <c r="B191" s="235"/>
    </row>
    <row r="192" spans="1:4">
      <c r="A192" s="235" t="s">
        <v>356</v>
      </c>
      <c r="B192" s="235"/>
      <c r="C192" s="38">
        <v>1185</v>
      </c>
      <c r="D192" s="38" t="s">
        <v>385</v>
      </c>
    </row>
    <row r="193" spans="1:4">
      <c r="A193" s="235"/>
      <c r="B193" s="235"/>
    </row>
    <row r="194" spans="1:4">
      <c r="A194" s="235" t="s">
        <v>355</v>
      </c>
      <c r="B194" s="235"/>
      <c r="C194" s="38">
        <v>557</v>
      </c>
      <c r="D194" s="38" t="s">
        <v>385</v>
      </c>
    </row>
    <row r="195" spans="1:4">
      <c r="A195" s="234"/>
      <c r="B195" s="235"/>
    </row>
    <row r="196" spans="1:4">
      <c r="A196" s="235" t="s">
        <v>358</v>
      </c>
      <c r="B196" s="235"/>
      <c r="C196" s="38">
        <v>1055</v>
      </c>
      <c r="D196" s="38" t="s">
        <v>385</v>
      </c>
    </row>
    <row r="197" spans="1:4">
      <c r="A197" s="235"/>
      <c r="B197" s="235"/>
    </row>
    <row r="198" spans="1:4">
      <c r="A198" s="235" t="s">
        <v>359</v>
      </c>
      <c r="B198" s="235"/>
      <c r="C198" s="38">
        <v>325</v>
      </c>
      <c r="D198" s="38" t="s">
        <v>385</v>
      </c>
    </row>
    <row r="199" spans="1:4">
      <c r="A199" s="234"/>
      <c r="B199" s="235"/>
    </row>
    <row r="200" spans="1:4">
      <c r="A200" s="235" t="s">
        <v>357</v>
      </c>
      <c r="B200" s="235"/>
      <c r="C200" s="38">
        <v>383</v>
      </c>
      <c r="D200" s="38" t="s">
        <v>385</v>
      </c>
    </row>
    <row r="201" spans="1:4">
      <c r="A201" s="235"/>
      <c r="B201" s="235"/>
      <c r="C201" s="38">
        <v>1516</v>
      </c>
    </row>
    <row r="202" spans="1:4">
      <c r="A202" s="235" t="s">
        <v>361</v>
      </c>
      <c r="B202" s="235"/>
      <c r="C202" s="38">
        <v>120</v>
      </c>
      <c r="D202" s="38" t="s">
        <v>385</v>
      </c>
    </row>
    <row r="203" spans="1:4">
      <c r="A203" s="235"/>
      <c r="B203" s="235"/>
    </row>
    <row r="204" spans="1:4">
      <c r="A204" s="235" t="s">
        <v>360</v>
      </c>
      <c r="B204" s="235"/>
      <c r="D204" s="38" t="s">
        <v>385</v>
      </c>
    </row>
    <row r="206" spans="1:4">
      <c r="A206" s="244">
        <v>0</v>
      </c>
    </row>
  </sheetData>
  <mergeCells count="25">
    <mergeCell ref="B4:C4"/>
    <mergeCell ref="F13:G13"/>
    <mergeCell ref="G55:H55"/>
    <mergeCell ref="C16:E16"/>
    <mergeCell ref="F16:G16"/>
    <mergeCell ref="H16:J16"/>
    <mergeCell ref="W56:X56"/>
    <mergeCell ref="K44:Q51"/>
    <mergeCell ref="S44:Y51"/>
    <mergeCell ref="A20:D21"/>
    <mergeCell ref="F20:I21"/>
    <mergeCell ref="A25:D27"/>
    <mergeCell ref="F25:I27"/>
    <mergeCell ref="K33:M33"/>
    <mergeCell ref="K4:Y27"/>
    <mergeCell ref="K34:Q41"/>
    <mergeCell ref="S34:Y41"/>
    <mergeCell ref="S33:U33"/>
    <mergeCell ref="A186:B186"/>
    <mergeCell ref="V74:X75"/>
    <mergeCell ref="Q56:R56"/>
    <mergeCell ref="S56:T56"/>
    <mergeCell ref="O56:P56"/>
    <mergeCell ref="U56:V56"/>
    <mergeCell ref="M57:N57"/>
  </mergeCells>
  <phoneticPr fontId="3"/>
  <dataValidations count="8">
    <dataValidation type="list" allowBlank="1" showInputMessage="1" showErrorMessage="1" sqref="F13:G13">
      <formula1>$A$168:$A$182</formula1>
    </dataValidation>
    <dataValidation type="list" allowBlank="1" showInputMessage="1" showErrorMessage="1" sqref="F19 A19">
      <formula1>$A$119:$A$125</formula1>
    </dataValidation>
    <dataValidation type="list" allowBlank="1" showInputMessage="1" showErrorMessage="1" sqref="F24 A24">
      <formula1>$A$129:$A$134</formula1>
    </dataValidation>
    <dataValidation type="list" allowBlank="1" showInputMessage="1" showErrorMessage="1" sqref="H19">
      <formula1>$A$136:$A$140</formula1>
    </dataValidation>
    <dataValidation type="list" allowBlank="1" showInputMessage="1" showErrorMessage="1" sqref="H24:I24 C24:D24">
      <formula1>$A$135:$A$165</formula1>
    </dataValidation>
    <dataValidation type="list" allowBlank="1" showInputMessage="1" showErrorMessage="1" sqref="C19">
      <formula1>$A$135:$A$140</formula1>
    </dataValidation>
    <dataValidation type="list" allowBlank="1" showInputMessage="1" showErrorMessage="1" sqref="G4">
      <formula1>$A$100:$A$101</formula1>
    </dataValidation>
    <dataValidation type="list" allowBlank="1" showInputMessage="1" showErrorMessage="1" sqref="I19 D19">
      <formula1>$A$136:$A$165</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5"/>
  <sheetViews>
    <sheetView topLeftCell="A7" zoomScale="80" zoomScaleNormal="80" workbookViewId="0">
      <selection activeCell="B4" sqref="B4:C4"/>
    </sheetView>
  </sheetViews>
  <sheetFormatPr defaultRowHeight="13"/>
  <cols>
    <col min="1" max="1" width="13.08984375" style="2" customWidth="1"/>
    <col min="2" max="8" width="8.7265625" style="2"/>
    <col min="9" max="9" width="13.453125" style="2" customWidth="1"/>
    <col min="10" max="10" width="12.36328125" style="2" bestFit="1" customWidth="1"/>
    <col min="11" max="16384" width="8.7265625" style="2"/>
  </cols>
  <sheetData>
    <row r="1" spans="1:23" ht="24" thickBot="1">
      <c r="A1" s="134" t="s">
        <v>262</v>
      </c>
      <c r="B1" s="135"/>
      <c r="C1" s="136"/>
      <c r="D1" s="136" t="s">
        <v>263</v>
      </c>
      <c r="E1" s="136"/>
      <c r="F1" s="136"/>
      <c r="G1" s="136"/>
      <c r="H1" s="136"/>
      <c r="I1" s="136"/>
      <c r="J1" s="136"/>
      <c r="K1" s="136"/>
      <c r="L1" s="136"/>
      <c r="M1" s="136"/>
      <c r="N1" s="136"/>
      <c r="O1" s="136"/>
      <c r="P1" s="136"/>
      <c r="Q1" s="136"/>
      <c r="R1" s="136"/>
      <c r="S1" s="136"/>
      <c r="T1" s="136"/>
      <c r="U1" s="136"/>
      <c r="V1" s="136"/>
      <c r="W1" s="136"/>
    </row>
    <row r="2" spans="1:23">
      <c r="A2" s="54" t="s">
        <v>176</v>
      </c>
      <c r="B2" s="114">
        <v>43990</v>
      </c>
      <c r="C2" s="55"/>
      <c r="D2" s="56"/>
      <c r="E2" s="56"/>
      <c r="F2" s="56"/>
      <c r="G2" s="56"/>
      <c r="H2" s="56"/>
      <c r="I2" s="56"/>
      <c r="J2" s="56"/>
      <c r="K2" s="56"/>
      <c r="L2" s="56"/>
      <c r="M2" s="56"/>
      <c r="N2" s="56"/>
      <c r="O2" s="56"/>
      <c r="P2" s="56"/>
      <c r="Q2" s="56"/>
      <c r="R2" s="56"/>
      <c r="S2" s="56"/>
      <c r="T2" s="56"/>
      <c r="U2" s="56"/>
      <c r="V2" s="56"/>
      <c r="W2" s="57"/>
    </row>
    <row r="3" spans="1:23" ht="19.5" thickBot="1">
      <c r="A3" s="58"/>
      <c r="B3" s="6"/>
      <c r="C3" s="6"/>
      <c r="D3" s="6"/>
      <c r="E3" s="6"/>
      <c r="F3" s="6"/>
      <c r="G3" s="6"/>
      <c r="H3" s="6"/>
      <c r="I3" s="6"/>
      <c r="J3" s="129" t="s">
        <v>264</v>
      </c>
      <c r="K3" s="6"/>
      <c r="L3" s="128" t="s">
        <v>296</v>
      </c>
      <c r="M3" s="69">
        <f>H60</f>
        <v>0</v>
      </c>
      <c r="N3" s="6" t="s">
        <v>245</v>
      </c>
      <c r="O3" s="6"/>
      <c r="P3" s="6"/>
      <c r="Q3" s="129" t="s">
        <v>270</v>
      </c>
      <c r="R3" s="6"/>
      <c r="S3" s="68" t="s">
        <v>234</v>
      </c>
      <c r="T3" s="64"/>
      <c r="U3" s="70">
        <f>H66</f>
        <v>0</v>
      </c>
      <c r="V3" s="6" t="s">
        <v>244</v>
      </c>
      <c r="W3" s="59"/>
    </row>
    <row r="4" spans="1:23" ht="19.5" thickBot="1">
      <c r="A4" s="60" t="s">
        <v>171</v>
      </c>
      <c r="B4" s="398"/>
      <c r="C4" s="398"/>
      <c r="D4" s="46"/>
      <c r="E4" s="61" t="s">
        <v>172</v>
      </c>
      <c r="F4" s="52">
        <f>'For Doctor'!G4</f>
        <v>0</v>
      </c>
      <c r="G4" s="6"/>
      <c r="H4" s="6"/>
      <c r="I4" s="123"/>
      <c r="J4" s="125"/>
      <c r="K4" s="125"/>
      <c r="L4" s="125"/>
      <c r="M4" s="125"/>
      <c r="N4" s="125"/>
      <c r="O4" s="125"/>
      <c r="P4" s="125"/>
      <c r="Q4" s="125"/>
      <c r="R4" s="125"/>
      <c r="S4" s="72" t="s">
        <v>246</v>
      </c>
      <c r="T4" s="72"/>
      <c r="U4" s="73">
        <f>Database!$AP$49/1000</f>
        <v>0</v>
      </c>
      <c r="V4" s="6" t="s">
        <v>247</v>
      </c>
      <c r="W4" s="126"/>
    </row>
    <row r="5" spans="1:23" ht="14.5" thickBot="1">
      <c r="A5" s="58"/>
      <c r="B5" s="6"/>
      <c r="C5" s="6"/>
      <c r="D5" s="6"/>
      <c r="E5" s="6"/>
      <c r="F5" s="6"/>
      <c r="G5" s="6"/>
      <c r="H5" s="6"/>
      <c r="I5" s="123"/>
      <c r="J5" s="125"/>
      <c r="K5" s="125"/>
      <c r="L5" s="125"/>
      <c r="M5" s="125"/>
      <c r="N5" s="125"/>
      <c r="O5" s="125"/>
      <c r="P5" s="125"/>
      <c r="Q5" s="125"/>
      <c r="R5" s="125"/>
      <c r="S5" s="125"/>
      <c r="T5" s="125"/>
      <c r="U5" s="125"/>
      <c r="V5" s="125"/>
      <c r="W5" s="126"/>
    </row>
    <row r="6" spans="1:23" ht="14.5" thickBot="1">
      <c r="A6" s="62" t="s">
        <v>179</v>
      </c>
      <c r="B6" s="52">
        <f>'For Doctor'!B6</f>
        <v>0</v>
      </c>
      <c r="C6" s="6" t="s">
        <v>209</v>
      </c>
      <c r="D6" s="6"/>
      <c r="E6" s="61" t="s">
        <v>182</v>
      </c>
      <c r="F6" s="52">
        <f>'For Doctor'!G6</f>
        <v>0</v>
      </c>
      <c r="G6" s="6"/>
      <c r="H6" s="6"/>
      <c r="I6" s="123"/>
      <c r="J6" s="125"/>
      <c r="K6" s="125"/>
      <c r="L6" s="125"/>
      <c r="M6" s="125"/>
      <c r="N6" s="125"/>
      <c r="O6" s="125"/>
      <c r="P6" s="125"/>
      <c r="Q6" s="125"/>
      <c r="R6" s="125"/>
      <c r="S6" s="125"/>
      <c r="T6" s="125"/>
      <c r="U6" s="125"/>
      <c r="V6" s="125"/>
      <c r="W6" s="126"/>
    </row>
    <row r="7" spans="1:23" ht="14.5" thickBot="1">
      <c r="A7" s="58"/>
      <c r="B7" s="6"/>
      <c r="C7" s="6"/>
      <c r="D7" s="6"/>
      <c r="E7" s="6"/>
      <c r="F7" s="6"/>
      <c r="G7" s="6"/>
      <c r="H7" s="6"/>
      <c r="I7" s="123"/>
      <c r="J7" s="125"/>
      <c r="K7" s="125"/>
      <c r="L7" s="125"/>
      <c r="M7" s="125"/>
      <c r="N7" s="125"/>
      <c r="O7" s="125"/>
      <c r="P7" s="125"/>
      <c r="Q7" s="125"/>
      <c r="R7" s="125"/>
      <c r="S7" s="125"/>
      <c r="T7" s="125"/>
      <c r="U7" s="125"/>
      <c r="V7" s="125"/>
      <c r="W7" s="126"/>
    </row>
    <row r="8" spans="1:23" ht="14.5" thickBot="1">
      <c r="A8" s="62" t="s">
        <v>207</v>
      </c>
      <c r="B8" s="52">
        <f>'For Doctor'!B8</f>
        <v>0</v>
      </c>
      <c r="C8" s="35" t="s">
        <v>181</v>
      </c>
      <c r="D8" s="35"/>
      <c r="E8" s="61" t="s">
        <v>177</v>
      </c>
      <c r="F8" s="52">
        <f>'For Doctor'!G8</f>
        <v>0</v>
      </c>
      <c r="G8" s="6" t="s">
        <v>180</v>
      </c>
      <c r="H8" s="6"/>
      <c r="I8" s="123"/>
      <c r="J8" s="125"/>
      <c r="K8" s="125"/>
      <c r="L8" s="125"/>
      <c r="M8" s="125"/>
      <c r="N8" s="125"/>
      <c r="O8" s="125"/>
      <c r="P8" s="125"/>
      <c r="Q8" s="125"/>
      <c r="R8" s="125"/>
      <c r="S8" s="125"/>
      <c r="T8" s="125"/>
      <c r="U8" s="125"/>
      <c r="V8" s="125"/>
      <c r="W8" s="126"/>
    </row>
    <row r="9" spans="1:23" ht="14.5" thickBot="1">
      <c r="A9" s="63" t="s">
        <v>175</v>
      </c>
      <c r="B9" s="6"/>
      <c r="C9" s="6"/>
      <c r="D9" s="6"/>
      <c r="E9" s="6"/>
      <c r="F9" s="6"/>
      <c r="G9" s="6"/>
      <c r="H9" s="6"/>
      <c r="I9" s="123"/>
      <c r="J9" s="125"/>
      <c r="K9" s="125"/>
      <c r="L9" s="125"/>
      <c r="M9" s="125"/>
      <c r="N9" s="125"/>
      <c r="O9" s="125"/>
      <c r="P9" s="125"/>
      <c r="Q9" s="125"/>
      <c r="R9" s="125"/>
      <c r="S9" s="125"/>
      <c r="T9" s="125"/>
      <c r="U9" s="125"/>
      <c r="V9" s="125"/>
      <c r="W9" s="126"/>
    </row>
    <row r="10" spans="1:23" ht="14.5" thickBot="1">
      <c r="A10" s="62" t="s">
        <v>178</v>
      </c>
      <c r="B10" s="53" t="e">
        <f>B8/B6/B6</f>
        <v>#DIV/0!</v>
      </c>
      <c r="C10" s="6" t="s">
        <v>181</v>
      </c>
      <c r="D10" s="6"/>
      <c r="E10" s="61" t="s">
        <v>208</v>
      </c>
      <c r="F10" s="53">
        <f>B6*B6*22</f>
        <v>0</v>
      </c>
      <c r="G10" s="6" t="s">
        <v>181</v>
      </c>
      <c r="H10" s="6"/>
      <c r="I10" s="123"/>
      <c r="J10" s="125"/>
      <c r="K10" s="125"/>
      <c r="L10" s="125"/>
      <c r="M10" s="125"/>
      <c r="N10" s="125"/>
      <c r="O10" s="125"/>
      <c r="P10" s="125"/>
      <c r="Q10" s="125"/>
      <c r="R10" s="125"/>
      <c r="S10" s="125"/>
      <c r="T10" s="125"/>
      <c r="U10" s="125"/>
      <c r="V10" s="125"/>
      <c r="W10" s="126"/>
    </row>
    <row r="11" spans="1:23" ht="14">
      <c r="A11" s="58"/>
      <c r="B11" s="6"/>
      <c r="C11" s="6"/>
      <c r="D11" s="6"/>
      <c r="E11" s="6" t="s">
        <v>254</v>
      </c>
      <c r="F11" s="110">
        <f>B8-F10</f>
        <v>0</v>
      </c>
      <c r="G11" s="6" t="s">
        <v>181</v>
      </c>
      <c r="H11" s="6"/>
      <c r="I11" s="123"/>
      <c r="J11" s="125"/>
      <c r="K11" s="125"/>
      <c r="L11" s="125"/>
      <c r="M11" s="125"/>
      <c r="N11" s="125"/>
      <c r="O11" s="125"/>
      <c r="P11" s="125"/>
      <c r="Q11" s="125"/>
      <c r="R11" s="125"/>
      <c r="S11" s="125"/>
      <c r="T11" s="125"/>
      <c r="U11" s="125"/>
      <c r="V11" s="125"/>
      <c r="W11" s="126"/>
    </row>
    <row r="12" spans="1:23" ht="14.5" thickBot="1">
      <c r="A12" s="58" t="s">
        <v>220</v>
      </c>
      <c r="B12" s="6"/>
      <c r="C12" s="6"/>
      <c r="D12" s="6"/>
      <c r="E12" s="6"/>
      <c r="F12" s="6"/>
      <c r="G12" s="6"/>
      <c r="H12" s="6"/>
      <c r="I12" s="123"/>
      <c r="J12" s="125"/>
      <c r="K12" s="125"/>
      <c r="L12" s="125"/>
      <c r="M12" s="125"/>
      <c r="N12" s="125"/>
      <c r="O12" s="125"/>
      <c r="P12" s="125"/>
      <c r="Q12" s="125"/>
      <c r="R12" s="125"/>
      <c r="S12" s="125"/>
      <c r="T12" s="125"/>
      <c r="U12" s="125"/>
      <c r="V12" s="125"/>
      <c r="W12" s="126"/>
    </row>
    <row r="13" spans="1:23" ht="17" thickBot="1">
      <c r="A13" s="399" t="e">
        <f>'For Doctor'!F13:G13</f>
        <v>#VALUE!</v>
      </c>
      <c r="B13" s="400"/>
      <c r="C13" s="6"/>
      <c r="D13" s="6"/>
      <c r="E13" s="74"/>
      <c r="F13" s="75"/>
      <c r="G13" s="35"/>
      <c r="H13" s="6"/>
      <c r="I13" s="123"/>
      <c r="J13" s="125"/>
      <c r="K13" s="125"/>
      <c r="L13" s="125"/>
      <c r="M13" s="125"/>
      <c r="N13" s="125"/>
      <c r="O13" s="125"/>
      <c r="P13" s="125"/>
      <c r="Q13" s="125"/>
      <c r="R13" s="125"/>
      <c r="S13" s="125"/>
      <c r="T13" s="125"/>
      <c r="U13" s="125"/>
      <c r="V13" s="125"/>
      <c r="W13" s="126"/>
    </row>
    <row r="14" spans="1:23" ht="14">
      <c r="A14" s="58"/>
      <c r="B14" s="6"/>
      <c r="C14" s="6"/>
      <c r="D14" s="6"/>
      <c r="E14" s="6"/>
      <c r="F14" s="6"/>
      <c r="G14" s="6"/>
      <c r="H14" s="6"/>
      <c r="I14" s="123"/>
      <c r="J14" s="125"/>
      <c r="K14" s="125"/>
      <c r="L14" s="125"/>
      <c r="M14" s="125"/>
      <c r="N14" s="125"/>
      <c r="O14" s="125"/>
      <c r="P14" s="125"/>
      <c r="Q14" s="125"/>
      <c r="R14" s="125"/>
      <c r="S14" s="125"/>
      <c r="T14" s="125"/>
      <c r="U14" s="125"/>
      <c r="V14" s="125"/>
      <c r="W14" s="126"/>
    </row>
    <row r="15" spans="1:23" ht="14.5" thickBot="1">
      <c r="A15" s="71" t="s">
        <v>227</v>
      </c>
      <c r="B15" s="35"/>
      <c r="C15" s="35" t="s">
        <v>231</v>
      </c>
      <c r="D15" s="35"/>
      <c r="E15" s="35" t="s">
        <v>228</v>
      </c>
      <c r="F15" s="35"/>
      <c r="G15" s="35" t="s">
        <v>232</v>
      </c>
      <c r="H15" s="6"/>
      <c r="I15" s="123"/>
      <c r="J15" s="125"/>
      <c r="K15" s="125"/>
      <c r="L15" s="125"/>
      <c r="M15" s="125"/>
      <c r="N15" s="125"/>
      <c r="O15" s="125"/>
      <c r="P15" s="125"/>
      <c r="Q15" s="125"/>
      <c r="R15" s="125"/>
      <c r="S15" s="125"/>
      <c r="T15" s="125"/>
      <c r="U15" s="125"/>
      <c r="V15" s="125"/>
      <c r="W15" s="126"/>
    </row>
    <row r="16" spans="1:23" ht="14.5" thickBot="1">
      <c r="A16" s="117">
        <f>'For Doctor'!A19</f>
        <v>0</v>
      </c>
      <c r="B16" s="118"/>
      <c r="C16" s="119">
        <f>'For Doctor'!C19</f>
        <v>0</v>
      </c>
      <c r="D16" s="35"/>
      <c r="E16" s="117">
        <f>'For Doctor'!F19</f>
        <v>0</v>
      </c>
      <c r="F16" s="118"/>
      <c r="G16" s="119">
        <f>'For Doctor'!H19</f>
        <v>0</v>
      </c>
      <c r="H16" s="6"/>
      <c r="I16" s="123"/>
      <c r="J16" s="125"/>
      <c r="K16" s="125"/>
      <c r="L16" s="125"/>
      <c r="M16" s="125"/>
      <c r="N16" s="125"/>
      <c r="O16" s="125"/>
      <c r="P16" s="125"/>
      <c r="Q16" s="125"/>
      <c r="R16" s="125"/>
      <c r="S16" s="125"/>
      <c r="T16" s="125"/>
      <c r="U16" s="125"/>
      <c r="V16" s="125"/>
      <c r="W16" s="126"/>
    </row>
    <row r="17" spans="1:23" ht="14">
      <c r="A17" s="401"/>
      <c r="B17" s="402"/>
      <c r="C17" s="35"/>
      <c r="D17" s="35"/>
      <c r="E17" s="35"/>
      <c r="F17" s="35"/>
      <c r="G17" s="35"/>
      <c r="H17" s="6"/>
      <c r="I17" s="123"/>
      <c r="J17" s="125"/>
      <c r="K17" s="35"/>
      <c r="L17" s="35"/>
      <c r="M17" s="35"/>
      <c r="N17" s="35"/>
      <c r="O17" s="35"/>
      <c r="P17" s="35"/>
      <c r="Q17" s="35"/>
      <c r="R17" s="35"/>
      <c r="S17" s="35"/>
      <c r="T17" s="35"/>
      <c r="U17" s="35"/>
      <c r="V17" s="35"/>
      <c r="W17" s="124"/>
    </row>
    <row r="18" spans="1:23" ht="14.5" thickBot="1">
      <c r="A18" s="71" t="s">
        <v>229</v>
      </c>
      <c r="B18" s="35"/>
      <c r="C18" s="35" t="s">
        <v>231</v>
      </c>
      <c r="D18" s="35"/>
      <c r="E18" s="35" t="s">
        <v>230</v>
      </c>
      <c r="F18" s="35"/>
      <c r="G18" s="35" t="s">
        <v>231</v>
      </c>
      <c r="H18" s="6"/>
      <c r="I18" s="123"/>
      <c r="J18" s="125"/>
      <c r="K18" s="35"/>
      <c r="L18" s="35"/>
      <c r="M18" s="35"/>
      <c r="N18" s="35"/>
      <c r="O18" s="35"/>
      <c r="P18" s="35"/>
      <c r="Q18" s="35"/>
      <c r="R18" s="35"/>
      <c r="S18" s="35"/>
      <c r="T18" s="35"/>
      <c r="U18" s="35"/>
      <c r="V18" s="35"/>
      <c r="W18" s="124"/>
    </row>
    <row r="19" spans="1:23" ht="14.5" thickBot="1">
      <c r="A19" s="120">
        <f>'For Doctor'!A24</f>
        <v>0</v>
      </c>
      <c r="B19" s="121"/>
      <c r="C19" s="122">
        <f>'For Doctor'!C24</f>
        <v>0</v>
      </c>
      <c r="D19" s="35"/>
      <c r="E19" s="120">
        <f>'For Doctor'!F24</f>
        <v>0</v>
      </c>
      <c r="F19" s="121"/>
      <c r="G19" s="122">
        <f>'For Doctor'!H24</f>
        <v>0</v>
      </c>
      <c r="H19" s="6"/>
      <c r="I19" s="123"/>
      <c r="J19" s="35"/>
      <c r="K19" s="35"/>
      <c r="L19" s="35"/>
      <c r="M19" s="35"/>
      <c r="N19" s="35"/>
      <c r="O19" s="35"/>
      <c r="P19" s="35"/>
      <c r="Q19" s="35"/>
      <c r="R19" s="35"/>
      <c r="S19" s="35"/>
      <c r="T19" s="35"/>
      <c r="U19" s="35"/>
      <c r="V19" s="35"/>
      <c r="W19" s="124"/>
    </row>
    <row r="20" spans="1:23">
      <c r="A20" s="58"/>
      <c r="B20" s="6"/>
      <c r="C20" s="6"/>
      <c r="D20" s="6"/>
      <c r="E20" s="6"/>
      <c r="F20" s="6"/>
      <c r="G20" s="6"/>
      <c r="H20" s="6"/>
      <c r="I20" s="6"/>
      <c r="J20" s="6"/>
      <c r="K20" s="6"/>
      <c r="L20" s="6"/>
      <c r="M20" s="6"/>
      <c r="N20" s="6"/>
      <c r="O20" s="6"/>
      <c r="P20" s="6"/>
      <c r="Q20" s="6"/>
      <c r="R20" s="6"/>
      <c r="S20" s="6"/>
      <c r="T20" s="6"/>
      <c r="U20" s="6"/>
      <c r="V20" s="6"/>
      <c r="W20" s="59"/>
    </row>
    <row r="21" spans="1:23">
      <c r="A21" s="58"/>
      <c r="B21" s="6"/>
      <c r="C21" s="6"/>
      <c r="D21" s="6"/>
      <c r="E21" s="6"/>
      <c r="F21" s="6"/>
      <c r="G21" s="6"/>
      <c r="H21" s="6"/>
      <c r="I21" s="6"/>
      <c r="J21" s="111"/>
      <c r="K21" s="6"/>
      <c r="L21" s="6"/>
      <c r="M21" s="6"/>
      <c r="N21" s="6"/>
      <c r="O21" s="6"/>
      <c r="P21" s="6"/>
      <c r="Q21" s="6"/>
      <c r="R21" s="6"/>
      <c r="S21" s="6"/>
      <c r="T21" s="6"/>
      <c r="U21" s="6"/>
      <c r="V21" s="6"/>
      <c r="W21" s="59"/>
    </row>
    <row r="22" spans="1:23" ht="19">
      <c r="A22" s="130"/>
      <c r="B22" s="127"/>
      <c r="C22" s="127"/>
      <c r="D22" s="6"/>
      <c r="E22" s="6"/>
      <c r="F22" s="6"/>
      <c r="G22" s="6"/>
      <c r="H22" s="6"/>
      <c r="I22" s="6"/>
      <c r="J22" s="129" t="s">
        <v>260</v>
      </c>
      <c r="K22" s="6"/>
      <c r="L22" s="6"/>
      <c r="M22" s="6"/>
      <c r="N22" s="6"/>
      <c r="O22" s="6"/>
      <c r="P22" s="403" t="s">
        <v>261</v>
      </c>
      <c r="Q22" s="403"/>
      <c r="R22" s="403"/>
      <c r="S22" s="112" t="s">
        <v>257</v>
      </c>
      <c r="T22" s="112"/>
      <c r="U22" s="113">
        <f>Database!J46</f>
        <v>0</v>
      </c>
      <c r="V22" s="6" t="s">
        <v>247</v>
      </c>
      <c r="W22" s="59"/>
    </row>
    <row r="23" spans="1:23" ht="17" customHeight="1">
      <c r="A23" s="132" t="s">
        <v>268</v>
      </c>
      <c r="B23" s="133"/>
      <c r="C23" s="133"/>
      <c r="D23" s="404" t="s">
        <v>269</v>
      </c>
      <c r="E23" s="404"/>
      <c r="F23" s="404"/>
      <c r="G23" s="404"/>
      <c r="H23" s="404"/>
      <c r="I23" s="6"/>
      <c r="J23" s="6"/>
      <c r="K23" s="6"/>
      <c r="L23" s="6"/>
      <c r="M23" s="115"/>
      <c r="N23" s="116"/>
      <c r="O23" s="6"/>
      <c r="P23" s="6"/>
      <c r="Q23" s="6"/>
      <c r="R23" s="6"/>
      <c r="S23" s="6"/>
      <c r="T23" s="6"/>
      <c r="U23" s="6"/>
      <c r="V23" s="6"/>
      <c r="W23" s="59"/>
    </row>
    <row r="24" spans="1:23">
      <c r="A24" s="58"/>
      <c r="B24" s="6"/>
      <c r="C24" s="6"/>
      <c r="D24" s="6"/>
      <c r="E24" s="6"/>
      <c r="F24" s="6"/>
      <c r="G24" s="6"/>
      <c r="H24" s="6"/>
      <c r="I24" s="6"/>
      <c r="J24" s="6"/>
      <c r="K24" s="6"/>
      <c r="L24" s="6"/>
      <c r="M24" s="6"/>
      <c r="N24" s="6"/>
      <c r="O24" s="6"/>
      <c r="P24" s="6"/>
      <c r="Q24" s="6"/>
      <c r="R24" s="6"/>
      <c r="S24" s="6"/>
      <c r="T24" s="6"/>
      <c r="U24" s="6"/>
      <c r="V24" s="6"/>
      <c r="W24" s="59"/>
    </row>
    <row r="25" spans="1:23">
      <c r="A25" s="58"/>
      <c r="B25" s="6"/>
      <c r="C25" s="6"/>
      <c r="D25" s="6"/>
      <c r="E25" s="6"/>
      <c r="F25" s="6"/>
      <c r="G25" s="6"/>
      <c r="H25" s="6"/>
      <c r="I25" s="6"/>
      <c r="J25" s="6"/>
      <c r="K25" s="6"/>
      <c r="L25" s="6"/>
      <c r="M25" s="6"/>
      <c r="N25" s="6"/>
      <c r="O25" s="6"/>
      <c r="P25" s="6"/>
      <c r="Q25" s="6"/>
      <c r="R25" s="6"/>
      <c r="S25" s="6"/>
      <c r="T25" s="6"/>
      <c r="U25" s="6"/>
      <c r="V25" s="6"/>
      <c r="W25" s="59"/>
    </row>
    <row r="26" spans="1:23" ht="14.5">
      <c r="A26" s="58"/>
      <c r="B26" s="6"/>
      <c r="C26" s="6"/>
      <c r="D26" s="6"/>
      <c r="E26" s="6"/>
      <c r="F26" s="6"/>
      <c r="G26" s="6"/>
      <c r="H26"/>
      <c r="I26" s="6"/>
      <c r="J26" s="6"/>
      <c r="K26" s="6"/>
      <c r="L26" s="6"/>
      <c r="M26" s="6"/>
      <c r="N26" s="6"/>
      <c r="O26" s="6"/>
      <c r="P26" s="6"/>
      <c r="Q26" s="6"/>
      <c r="R26" s="6"/>
      <c r="S26" s="6"/>
      <c r="T26" s="6"/>
      <c r="U26" s="6"/>
      <c r="V26" s="6"/>
      <c r="W26" s="59"/>
    </row>
    <row r="27" spans="1:23" ht="14.5">
      <c r="A27" s="58"/>
      <c r="B27" s="6"/>
      <c r="C27" s="6"/>
      <c r="D27" s="6"/>
      <c r="E27"/>
      <c r="F27" s="6"/>
      <c r="G27" s="6"/>
      <c r="H27" s="6"/>
      <c r="I27" s="6"/>
      <c r="J27" s="6"/>
      <c r="K27" s="6"/>
      <c r="L27" s="6"/>
      <c r="M27" s="6"/>
      <c r="N27" s="6"/>
      <c r="O27" s="6"/>
      <c r="P27" s="6"/>
      <c r="Q27" s="6"/>
      <c r="R27" s="6"/>
      <c r="S27" s="6"/>
      <c r="T27" s="6"/>
      <c r="U27" s="6"/>
      <c r="V27" s="6"/>
      <c r="W27" s="59"/>
    </row>
    <row r="28" spans="1:23">
      <c r="A28" s="58"/>
      <c r="B28" s="6"/>
      <c r="C28" s="6"/>
      <c r="D28" s="6"/>
      <c r="E28" s="6"/>
      <c r="F28" s="6"/>
      <c r="G28" s="6"/>
      <c r="H28" s="6"/>
      <c r="I28" s="6"/>
      <c r="J28" s="6"/>
      <c r="K28" s="6"/>
      <c r="L28" s="6"/>
      <c r="M28" s="6"/>
      <c r="N28" s="6"/>
      <c r="O28" s="6"/>
      <c r="P28" s="6"/>
      <c r="Q28" s="6"/>
      <c r="R28" s="6"/>
      <c r="S28" s="6"/>
      <c r="T28" s="6"/>
      <c r="U28" s="6"/>
      <c r="V28" s="6"/>
      <c r="W28" s="59"/>
    </row>
    <row r="29" spans="1:23" ht="14.5">
      <c r="A29"/>
      <c r="B29" s="6"/>
      <c r="C29" s="6"/>
      <c r="D29" s="6"/>
      <c r="E29" s="6"/>
      <c r="F29" s="6"/>
      <c r="G29" s="6"/>
      <c r="H29" s="6"/>
      <c r="I29" s="6"/>
      <c r="J29" s="6"/>
      <c r="K29" s="6"/>
      <c r="L29" s="6"/>
      <c r="M29" s="6"/>
      <c r="N29" s="6"/>
      <c r="O29" s="6"/>
      <c r="P29" s="6"/>
      <c r="Q29" s="6"/>
      <c r="R29" s="6"/>
      <c r="S29" s="6"/>
      <c r="T29" s="6"/>
      <c r="U29" s="6"/>
      <c r="V29" s="6"/>
      <c r="W29" s="59"/>
    </row>
    <row r="30" spans="1:23" ht="14.5">
      <c r="A30" s="58"/>
      <c r="B30" s="6"/>
      <c r="C30" s="6"/>
      <c r="D30" s="6"/>
      <c r="E30" s="6"/>
      <c r="F30"/>
      <c r="G30" s="6"/>
      <c r="H30" s="6"/>
      <c r="I30" s="6"/>
      <c r="J30" s="6"/>
      <c r="K30" s="6"/>
      <c r="L30" s="6"/>
      <c r="M30" s="6"/>
      <c r="N30" s="6"/>
      <c r="O30" s="6"/>
      <c r="P30" s="6"/>
      <c r="Q30" s="6"/>
      <c r="R30" s="6"/>
      <c r="S30" s="6"/>
      <c r="T30" s="6"/>
      <c r="U30" s="6"/>
      <c r="V30" s="6"/>
      <c r="W30" s="59"/>
    </row>
    <row r="31" spans="1:23">
      <c r="A31" s="58"/>
      <c r="B31" s="6"/>
      <c r="C31" s="6"/>
      <c r="D31" s="6"/>
      <c r="E31" s="6"/>
      <c r="F31" s="6"/>
      <c r="G31" s="6"/>
      <c r="H31" s="6"/>
      <c r="I31" s="6"/>
      <c r="J31" s="6"/>
      <c r="K31" s="6"/>
      <c r="L31" s="6"/>
      <c r="M31" s="6"/>
      <c r="N31" s="6"/>
      <c r="O31" s="6"/>
      <c r="P31" s="6"/>
      <c r="Q31" s="6"/>
      <c r="R31" s="6"/>
      <c r="S31" s="6"/>
      <c r="T31" s="6"/>
      <c r="U31" s="6"/>
      <c r="V31" s="6"/>
      <c r="W31" s="59"/>
    </row>
    <row r="32" spans="1:23">
      <c r="A32" s="58"/>
      <c r="B32" s="6"/>
      <c r="C32" s="6"/>
      <c r="D32" s="6"/>
      <c r="E32" s="6"/>
      <c r="F32" s="6"/>
      <c r="G32" s="6"/>
      <c r="H32" s="6"/>
      <c r="I32" s="6"/>
      <c r="J32" s="6"/>
      <c r="K32" s="6"/>
      <c r="L32" s="6"/>
      <c r="M32" s="6"/>
      <c r="N32" s="6"/>
      <c r="O32" s="6"/>
      <c r="P32" s="6"/>
      <c r="Q32" s="6"/>
      <c r="R32" s="6"/>
      <c r="S32" s="6"/>
      <c r="T32" s="6"/>
      <c r="U32" s="6"/>
      <c r="V32" s="6"/>
      <c r="W32" s="59"/>
    </row>
    <row r="33" spans="1:23">
      <c r="A33" s="58"/>
      <c r="B33" s="6"/>
      <c r="C33" s="6"/>
      <c r="D33" s="6"/>
      <c r="E33" s="6"/>
      <c r="F33" s="6"/>
      <c r="G33" s="6"/>
      <c r="H33" s="6"/>
      <c r="I33" s="6"/>
      <c r="J33" s="6"/>
      <c r="K33" s="6"/>
      <c r="L33" s="6"/>
      <c r="M33" s="6"/>
      <c r="N33" s="6"/>
      <c r="O33" s="6"/>
      <c r="P33" s="6"/>
      <c r="Q33" s="6"/>
      <c r="R33" s="6"/>
      <c r="S33" s="6"/>
      <c r="T33" s="6"/>
      <c r="U33" s="6"/>
      <c r="V33" s="6"/>
      <c r="W33" s="59"/>
    </row>
    <row r="34" spans="1:23">
      <c r="A34" s="132" t="s">
        <v>266</v>
      </c>
      <c r="B34" s="6"/>
      <c r="C34" s="6"/>
      <c r="D34" s="6"/>
      <c r="E34" s="6" t="s">
        <v>267</v>
      </c>
      <c r="F34" s="6"/>
      <c r="G34" s="6"/>
      <c r="H34" s="6"/>
      <c r="I34" s="6"/>
      <c r="J34" s="6"/>
      <c r="K34" s="6"/>
      <c r="L34" s="6"/>
      <c r="M34" s="6"/>
      <c r="N34" s="6"/>
      <c r="O34" s="6"/>
      <c r="P34" s="6"/>
      <c r="Q34" s="6"/>
      <c r="R34" s="6"/>
      <c r="S34" s="6"/>
      <c r="T34" s="6"/>
      <c r="U34" s="6"/>
      <c r="V34" s="6"/>
      <c r="W34" s="59"/>
    </row>
    <row r="35" spans="1:23">
      <c r="A35" s="58"/>
      <c r="B35" s="6"/>
      <c r="C35" s="6"/>
      <c r="D35" s="6"/>
      <c r="E35" s="6"/>
      <c r="F35" s="6"/>
      <c r="G35" s="6"/>
      <c r="H35" s="6"/>
      <c r="I35" s="6"/>
      <c r="J35" s="6"/>
      <c r="K35" s="6"/>
      <c r="L35" s="6"/>
      <c r="M35" s="6"/>
      <c r="N35" s="6"/>
      <c r="O35" s="6"/>
      <c r="P35" s="6"/>
      <c r="Q35" s="6"/>
      <c r="R35" s="6"/>
      <c r="S35" s="6"/>
      <c r="T35" s="6"/>
      <c r="U35" s="6"/>
      <c r="V35" s="6"/>
      <c r="W35" s="59"/>
    </row>
    <row r="36" spans="1:23" ht="14.5">
      <c r="A36" s="58"/>
      <c r="B36" s="6"/>
      <c r="C36"/>
      <c r="D36" s="6"/>
      <c r="E36" s="6"/>
      <c r="F36" s="6"/>
      <c r="G36" s="6"/>
      <c r="H36" s="6"/>
      <c r="I36" s="6"/>
      <c r="J36" s="6"/>
      <c r="K36" s="6"/>
      <c r="L36" s="6"/>
      <c r="M36" s="6"/>
      <c r="N36" s="6"/>
      <c r="O36" s="6"/>
      <c r="P36" s="6"/>
      <c r="Q36" s="6"/>
      <c r="R36" s="6"/>
      <c r="S36" s="6"/>
      <c r="T36" s="6"/>
      <c r="U36" s="6"/>
      <c r="V36" s="6"/>
      <c r="W36" s="59"/>
    </row>
    <row r="37" spans="1:23">
      <c r="A37" s="58"/>
      <c r="B37" s="6"/>
      <c r="C37" s="6"/>
      <c r="D37" s="6"/>
      <c r="E37" s="6"/>
      <c r="F37" s="6"/>
      <c r="G37" s="6"/>
      <c r="H37" s="6"/>
      <c r="I37" s="6"/>
      <c r="J37" s="6"/>
      <c r="K37" s="6"/>
      <c r="L37" s="6"/>
      <c r="M37" s="6"/>
      <c r="N37" s="6"/>
      <c r="O37" s="6"/>
      <c r="P37" s="6"/>
      <c r="Q37" s="6"/>
      <c r="R37" s="6"/>
      <c r="S37" s="6"/>
      <c r="T37" s="6"/>
      <c r="U37" s="6"/>
      <c r="V37" s="6"/>
      <c r="W37" s="59"/>
    </row>
    <row r="38" spans="1:23">
      <c r="A38" s="58"/>
      <c r="B38" s="6"/>
      <c r="C38" s="6"/>
      <c r="D38" s="6"/>
      <c r="E38" s="6"/>
      <c r="F38" s="6"/>
      <c r="G38" s="6"/>
      <c r="H38" s="6"/>
      <c r="I38" s="6"/>
      <c r="J38" s="6"/>
      <c r="K38" s="6"/>
      <c r="L38" s="6"/>
      <c r="M38" s="6"/>
      <c r="N38" s="6"/>
      <c r="O38" s="6"/>
      <c r="P38" s="6"/>
      <c r="Q38" s="6"/>
      <c r="R38" s="6"/>
      <c r="S38" s="6"/>
      <c r="T38" s="6"/>
      <c r="U38" s="6"/>
      <c r="V38" s="6"/>
      <c r="W38" s="59"/>
    </row>
    <row r="39" spans="1:23">
      <c r="A39" s="58"/>
      <c r="B39" s="6"/>
      <c r="C39" s="6"/>
      <c r="D39" s="6"/>
      <c r="E39" s="6"/>
      <c r="F39" s="6"/>
      <c r="G39" s="6"/>
      <c r="H39" s="6"/>
      <c r="I39" s="6"/>
      <c r="J39" s="6"/>
      <c r="K39" s="6"/>
      <c r="L39" s="6"/>
      <c r="M39" s="6"/>
      <c r="N39" s="6"/>
      <c r="O39" s="6"/>
      <c r="P39" s="6"/>
      <c r="Q39" s="6"/>
      <c r="R39" s="6"/>
      <c r="S39" s="6"/>
      <c r="T39" s="6"/>
      <c r="U39" s="6"/>
      <c r="V39" s="6"/>
      <c r="W39" s="59"/>
    </row>
    <row r="40" spans="1:23">
      <c r="A40" s="58"/>
      <c r="B40" s="6"/>
      <c r="C40" s="6"/>
      <c r="D40" s="6"/>
      <c r="E40" s="6"/>
      <c r="F40" s="6"/>
      <c r="G40" s="6"/>
      <c r="H40" s="6"/>
      <c r="I40" s="6"/>
      <c r="J40" s="6"/>
      <c r="K40" s="6"/>
      <c r="L40" s="6"/>
      <c r="M40" s="6"/>
      <c r="N40" s="6"/>
      <c r="O40" s="6"/>
      <c r="P40" s="6"/>
      <c r="Q40" s="6"/>
      <c r="R40" s="6"/>
      <c r="S40" s="6"/>
      <c r="T40" s="6"/>
      <c r="U40" s="6"/>
      <c r="V40" s="6"/>
      <c r="W40" s="59"/>
    </row>
    <row r="41" spans="1:23" ht="13.5" thickBot="1">
      <c r="A41" s="65"/>
      <c r="B41" s="66"/>
      <c r="C41" s="66"/>
      <c r="D41" s="66"/>
      <c r="E41" s="66"/>
      <c r="F41" s="66"/>
      <c r="G41" s="66"/>
      <c r="H41" s="66"/>
      <c r="I41" s="66"/>
      <c r="J41" s="131" t="s">
        <v>258</v>
      </c>
      <c r="K41" s="66"/>
      <c r="L41" s="66"/>
      <c r="M41" s="66"/>
      <c r="N41" s="66"/>
      <c r="O41" s="66"/>
      <c r="P41" s="66"/>
      <c r="Q41" s="66"/>
      <c r="R41" s="66"/>
      <c r="S41" s="66"/>
      <c r="T41" s="66"/>
      <c r="U41" s="66"/>
      <c r="V41" s="66"/>
      <c r="W41" s="67"/>
    </row>
    <row r="48" spans="1:23">
      <c r="K48" s="111" t="s">
        <v>265</v>
      </c>
    </row>
    <row r="59" spans="1:10">
      <c r="G59" s="7" t="s">
        <v>233</v>
      </c>
      <c r="H59" s="7" t="s">
        <v>237</v>
      </c>
      <c r="I59" s="7" t="s">
        <v>238</v>
      </c>
      <c r="J59" s="7" t="s">
        <v>239</v>
      </c>
    </row>
    <row r="60" spans="1:10">
      <c r="A60" s="2" t="s">
        <v>173</v>
      </c>
      <c r="G60" s="7" t="s">
        <v>235</v>
      </c>
      <c r="H60" s="7">
        <f>Database!D46</f>
        <v>0</v>
      </c>
      <c r="I60" s="7" t="e">
        <f>VLOOKUP($A$13,'Target Calory &amp; Protein'!$A$2:$E$17,2,FALSE)*$B$8</f>
        <v>#VALUE!</v>
      </c>
      <c r="J60" s="7" t="e">
        <f>VLOOKUP($A$13,'Target Calory &amp; Protein'!$A$2:$E$17,3,FALSE)*'For Patient'!$B$8</f>
        <v>#VALUE!</v>
      </c>
    </row>
    <row r="61" spans="1:10">
      <c r="A61" s="2" t="s">
        <v>174</v>
      </c>
      <c r="G61" s="7" t="s">
        <v>111</v>
      </c>
      <c r="H61" s="7">
        <f>Database!D47</f>
        <v>0</v>
      </c>
      <c r="I61" s="7" t="e">
        <f>VLOOKUP($A$13,'Target Calory &amp; Protein'!$A$2:$E$17,2,FALSE)*$B$8</f>
        <v>#VALUE!</v>
      </c>
      <c r="J61" s="7" t="e">
        <f>VLOOKUP($A$13,'Target Calory &amp; Protein'!$A$2:$E$17,3,FALSE)*'For Patient'!$B$8</f>
        <v>#VALUE!</v>
      </c>
    </row>
    <row r="62" spans="1:10">
      <c r="G62" s="7" t="s">
        <v>240</v>
      </c>
      <c r="H62" s="7">
        <f>Database!D48</f>
        <v>0</v>
      </c>
      <c r="I62" s="7" t="e">
        <f>VLOOKUP($A$13,'Target Calory &amp; Protein'!$A$2:$E$17,2,FALSE)*$B$8</f>
        <v>#VALUE!</v>
      </c>
      <c r="J62" s="7" t="e">
        <f>VLOOKUP($A$13,'Target Calory &amp; Protein'!$A$2:$E$17,3,FALSE)*'For Patient'!$B$8</f>
        <v>#VALUE!</v>
      </c>
    </row>
    <row r="63" spans="1:10">
      <c r="A63" s="2" t="s">
        <v>183</v>
      </c>
    </row>
    <row r="64" spans="1:10">
      <c r="A64" s="36" t="s">
        <v>184</v>
      </c>
    </row>
    <row r="65" spans="1:10">
      <c r="A65" s="2" t="s">
        <v>185</v>
      </c>
      <c r="G65" s="7" t="s">
        <v>243</v>
      </c>
      <c r="H65" s="7" t="s">
        <v>237</v>
      </c>
      <c r="I65" s="7" t="s">
        <v>238</v>
      </c>
      <c r="J65" s="7" t="s">
        <v>239</v>
      </c>
    </row>
    <row r="66" spans="1:10">
      <c r="A66" s="2" t="s">
        <v>186</v>
      </c>
      <c r="G66" s="7" t="s">
        <v>235</v>
      </c>
      <c r="H66" s="7">
        <f>Database!F46</f>
        <v>0</v>
      </c>
      <c r="I66" s="7" t="e">
        <f>VLOOKUP($A$13,'Target Calory &amp; Protein'!$A$2:$E$17,4,FALSE)*$B$8</f>
        <v>#VALUE!</v>
      </c>
      <c r="J66" s="7" t="e">
        <f>VLOOKUP($A$13,'Target Calory &amp; Protein'!$A$2:$E$17,5,FALSE)*'For Patient'!$B$8</f>
        <v>#VALUE!</v>
      </c>
    </row>
    <row r="67" spans="1:10">
      <c r="A67" s="2" t="s">
        <v>187</v>
      </c>
      <c r="G67" s="7" t="s">
        <v>111</v>
      </c>
      <c r="H67" s="7">
        <f>Database!F47</f>
        <v>0</v>
      </c>
      <c r="I67" s="7" t="e">
        <f>VLOOKUP($A$13,'Target Calory &amp; Protein'!$A$2:$E$17,4,FALSE)*$B$8</f>
        <v>#VALUE!</v>
      </c>
      <c r="J67" s="7" t="e">
        <f>VLOOKUP($A$13,'Target Calory &amp; Protein'!$A$2:$E$17,5,FALSE)*'For Patient'!$B$8</f>
        <v>#VALUE!</v>
      </c>
    </row>
    <row r="68" spans="1:10">
      <c r="A68" s="2" t="s">
        <v>188</v>
      </c>
      <c r="G68" s="7" t="s">
        <v>240</v>
      </c>
      <c r="H68" s="7">
        <f>Database!F48</f>
        <v>0</v>
      </c>
      <c r="I68" s="7" t="e">
        <f>VLOOKUP($A$13,'Target Calory &amp; Protein'!$A$2:$E$17,4,FALSE)*$B$8</f>
        <v>#VALUE!</v>
      </c>
      <c r="J68" s="7" t="e">
        <f>VLOOKUP($A$13,'Target Calory &amp; Protein'!$A$2:$E$17,5,FALSE)*'For Patient'!$B$8</f>
        <v>#VALUE!</v>
      </c>
    </row>
    <row r="69" spans="1:10">
      <c r="A69" s="2" t="s">
        <v>189</v>
      </c>
    </row>
    <row r="70" spans="1:10">
      <c r="A70" s="2" t="s">
        <v>190</v>
      </c>
    </row>
    <row r="71" spans="1:10">
      <c r="A71" s="2" t="s">
        <v>191</v>
      </c>
    </row>
    <row r="72" spans="1:10">
      <c r="A72" s="2" t="s">
        <v>192</v>
      </c>
    </row>
    <row r="73" spans="1:10">
      <c r="A73" s="2" t="s">
        <v>193</v>
      </c>
    </row>
    <row r="74" spans="1:10">
      <c r="A74" s="2" t="s">
        <v>194</v>
      </c>
    </row>
    <row r="75" spans="1:10">
      <c r="A75" s="2" t="s">
        <v>195</v>
      </c>
    </row>
    <row r="77" spans="1:10" ht="14">
      <c r="A77" s="41"/>
      <c r="C77" s="38"/>
      <c r="D77" s="38"/>
    </row>
    <row r="78" spans="1:10" ht="14">
      <c r="A78" s="41" t="s">
        <v>112</v>
      </c>
      <c r="C78" s="38"/>
      <c r="D78" s="38"/>
    </row>
    <row r="79" spans="1:10" ht="14">
      <c r="A79" s="41" t="s">
        <v>215</v>
      </c>
      <c r="C79" s="38"/>
      <c r="D79" s="38"/>
    </row>
    <row r="80" spans="1:10" ht="14">
      <c r="A80" s="7" t="s">
        <v>216</v>
      </c>
      <c r="C80" s="38"/>
      <c r="D80" s="38"/>
    </row>
    <row r="81" spans="1:4" ht="14">
      <c r="A81" s="2" t="s">
        <v>212</v>
      </c>
      <c r="C81" s="38"/>
      <c r="D81" s="38"/>
    </row>
    <row r="82" spans="1:4" ht="14">
      <c r="A82" s="2" t="s">
        <v>213</v>
      </c>
      <c r="C82" s="38"/>
      <c r="D82" s="38"/>
    </row>
    <row r="83" spans="1:4" ht="14">
      <c r="C83" s="38"/>
      <c r="D83" s="38"/>
    </row>
    <row r="84" spans="1:4" ht="14">
      <c r="C84" s="38"/>
      <c r="D84" s="38"/>
    </row>
    <row r="85" spans="1:4" ht="14">
      <c r="A85" s="2" t="s">
        <v>84</v>
      </c>
      <c r="C85" s="38"/>
      <c r="D85" s="38"/>
    </row>
    <row r="86" spans="1:4">
      <c r="A86" s="2" t="s">
        <v>113</v>
      </c>
    </row>
    <row r="87" spans="1:4">
      <c r="A87" s="2" t="s">
        <v>110</v>
      </c>
    </row>
    <row r="89" spans="1:4">
      <c r="A89" s="2">
        <v>1</v>
      </c>
    </row>
    <row r="90" spans="1:4">
      <c r="A90" s="2">
        <v>2</v>
      </c>
    </row>
    <row r="91" spans="1:4">
      <c r="A91" s="2">
        <v>3</v>
      </c>
    </row>
    <row r="92" spans="1:4">
      <c r="A92" s="2">
        <v>4</v>
      </c>
    </row>
    <row r="93" spans="1:4">
      <c r="A93" s="2">
        <v>5</v>
      </c>
    </row>
    <row r="94" spans="1:4">
      <c r="A94" s="2">
        <v>6</v>
      </c>
    </row>
    <row r="95" spans="1:4">
      <c r="A95" s="2">
        <v>7</v>
      </c>
    </row>
    <row r="96" spans="1:4">
      <c r="A96" s="2">
        <v>8</v>
      </c>
    </row>
    <row r="97" spans="1:1">
      <c r="A97" s="2">
        <v>9</v>
      </c>
    </row>
    <row r="98" spans="1:1">
      <c r="A98" s="2">
        <v>10</v>
      </c>
    </row>
    <row r="99" spans="1:1">
      <c r="A99" s="2">
        <v>11</v>
      </c>
    </row>
    <row r="100" spans="1:1">
      <c r="A100" s="2">
        <v>12</v>
      </c>
    </row>
    <row r="101" spans="1:1">
      <c r="A101" s="2">
        <v>13</v>
      </c>
    </row>
    <row r="102" spans="1:1">
      <c r="A102" s="2">
        <v>14</v>
      </c>
    </row>
    <row r="103" spans="1:1">
      <c r="A103" s="2">
        <v>15</v>
      </c>
    </row>
    <row r="104" spans="1:1">
      <c r="A104" s="2">
        <v>16</v>
      </c>
    </row>
    <row r="105" spans="1:1">
      <c r="A105" s="2">
        <v>17</v>
      </c>
    </row>
    <row r="106" spans="1:1">
      <c r="A106" s="2">
        <v>18</v>
      </c>
    </row>
    <row r="107" spans="1:1">
      <c r="A107" s="2">
        <v>19</v>
      </c>
    </row>
    <row r="108" spans="1:1">
      <c r="A108" s="2">
        <v>20</v>
      </c>
    </row>
    <row r="109" spans="1:1">
      <c r="A109" s="2">
        <v>21</v>
      </c>
    </row>
    <row r="110" spans="1:1">
      <c r="A110" s="2">
        <v>22</v>
      </c>
    </row>
    <row r="111" spans="1:1">
      <c r="A111" s="2">
        <v>23</v>
      </c>
    </row>
    <row r="112" spans="1:1">
      <c r="A112" s="2">
        <v>24</v>
      </c>
    </row>
    <row r="113" spans="1:1">
      <c r="A113" s="2">
        <v>25</v>
      </c>
    </row>
    <row r="114" spans="1:1">
      <c r="A114" s="2">
        <v>26</v>
      </c>
    </row>
    <row r="115" spans="1:1">
      <c r="A115" s="2">
        <v>27</v>
      </c>
    </row>
    <row r="116" spans="1:1">
      <c r="A116" s="2">
        <v>28</v>
      </c>
    </row>
    <row r="117" spans="1:1">
      <c r="A117" s="2">
        <v>29</v>
      </c>
    </row>
    <row r="118" spans="1:1">
      <c r="A118" s="2">
        <v>30</v>
      </c>
    </row>
    <row r="121" spans="1:1">
      <c r="A121" s="2" t="s">
        <v>206</v>
      </c>
    </row>
    <row r="122" spans="1:1">
      <c r="A122" s="2" t="s">
        <v>196</v>
      </c>
    </row>
    <row r="123" spans="1:1">
      <c r="A123" s="2" t="s">
        <v>197</v>
      </c>
    </row>
    <row r="124" spans="1:1">
      <c r="A124" s="2" t="s">
        <v>198</v>
      </c>
    </row>
    <row r="125" spans="1:1">
      <c r="A125" s="7" t="s">
        <v>224</v>
      </c>
    </row>
    <row r="126" spans="1:1">
      <c r="A126" s="7" t="s">
        <v>223</v>
      </c>
    </row>
    <row r="127" spans="1:1">
      <c r="A127" s="7" t="s">
        <v>222</v>
      </c>
    </row>
    <row r="128" spans="1:1">
      <c r="A128" s="7" t="s">
        <v>221</v>
      </c>
    </row>
    <row r="129" spans="1:1">
      <c r="A129" s="2" t="s">
        <v>199</v>
      </c>
    </row>
    <row r="130" spans="1:1">
      <c r="A130" s="2" t="s">
        <v>200</v>
      </c>
    </row>
    <row r="131" spans="1:1">
      <c r="A131" s="2" t="s">
        <v>201</v>
      </c>
    </row>
    <row r="132" spans="1:1">
      <c r="A132" s="2" t="s">
        <v>202</v>
      </c>
    </row>
    <row r="133" spans="1:1">
      <c r="A133" s="2" t="s">
        <v>205</v>
      </c>
    </row>
    <row r="134" spans="1:1">
      <c r="A134" s="2" t="s">
        <v>203</v>
      </c>
    </row>
    <row r="135" spans="1:1">
      <c r="A135" s="2" t="s">
        <v>204</v>
      </c>
    </row>
  </sheetData>
  <mergeCells count="5">
    <mergeCell ref="B4:C4"/>
    <mergeCell ref="A13:B13"/>
    <mergeCell ref="A17:B17"/>
    <mergeCell ref="P22:R22"/>
    <mergeCell ref="D23:H23"/>
  </mergeCells>
  <phoneticPr fontId="3"/>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170" zoomScaleNormal="170" workbookViewId="0">
      <selection activeCell="A6" sqref="A6"/>
    </sheetView>
  </sheetViews>
  <sheetFormatPr defaultRowHeight="13"/>
  <cols>
    <col min="1" max="1" width="34.6328125" style="2" bestFit="1" customWidth="1"/>
    <col min="2" max="16384" width="8.7265625" style="2"/>
  </cols>
  <sheetData>
    <row r="1" spans="1:6">
      <c r="A1" s="7"/>
      <c r="B1" s="405" t="s">
        <v>295</v>
      </c>
      <c r="C1" s="405"/>
      <c r="D1" s="405" t="s">
        <v>219</v>
      </c>
      <c r="E1" s="405"/>
    </row>
    <row r="2" spans="1:6">
      <c r="A2" s="7" t="s">
        <v>206</v>
      </c>
      <c r="B2" s="7"/>
      <c r="C2" s="7"/>
      <c r="D2" s="7"/>
      <c r="E2" s="7"/>
    </row>
    <row r="3" spans="1:6">
      <c r="A3" s="7" t="s">
        <v>196</v>
      </c>
      <c r="B3" s="7"/>
      <c r="C3" s="7"/>
      <c r="D3" s="7"/>
      <c r="E3" s="7"/>
    </row>
    <row r="4" spans="1:6">
      <c r="A4" s="7" t="s">
        <v>197</v>
      </c>
      <c r="B4" s="7">
        <v>25</v>
      </c>
      <c r="C4" s="7">
        <v>10</v>
      </c>
      <c r="D4" s="7">
        <v>1.2</v>
      </c>
      <c r="E4" s="7">
        <v>0.3</v>
      </c>
    </row>
    <row r="5" spans="1:6">
      <c r="A5" s="7" t="s">
        <v>198</v>
      </c>
      <c r="B5" s="7">
        <v>25</v>
      </c>
      <c r="C5" s="7">
        <v>5</v>
      </c>
      <c r="D5" s="7">
        <v>1.2</v>
      </c>
      <c r="E5" s="7">
        <v>0.3</v>
      </c>
    </row>
    <row r="6" spans="1:6">
      <c r="A6" s="7" t="s">
        <v>224</v>
      </c>
      <c r="B6" s="7">
        <v>25</v>
      </c>
      <c r="C6" s="7">
        <v>5</v>
      </c>
      <c r="D6" s="7">
        <v>1.2</v>
      </c>
      <c r="E6" s="7">
        <v>0.3</v>
      </c>
    </row>
    <row r="7" spans="1:6">
      <c r="A7" s="7" t="s">
        <v>241</v>
      </c>
      <c r="B7" s="7">
        <v>25</v>
      </c>
      <c r="C7" s="7">
        <v>5</v>
      </c>
      <c r="D7" s="7">
        <v>1.5</v>
      </c>
      <c r="E7" s="16">
        <v>0.5</v>
      </c>
    </row>
    <row r="8" spans="1:6">
      <c r="A8" s="147" t="s">
        <v>259</v>
      </c>
      <c r="B8" s="147">
        <v>20</v>
      </c>
      <c r="C8" s="147">
        <v>5</v>
      </c>
      <c r="D8" s="147">
        <v>1.2</v>
      </c>
      <c r="E8" s="147">
        <v>0.3</v>
      </c>
    </row>
    <row r="9" spans="1:6">
      <c r="A9" s="7" t="s">
        <v>242</v>
      </c>
      <c r="B9" s="7">
        <v>35</v>
      </c>
      <c r="C9" s="7">
        <v>5</v>
      </c>
      <c r="D9" s="7">
        <v>1.5</v>
      </c>
      <c r="E9" s="16">
        <v>0.5</v>
      </c>
    </row>
    <row r="10" spans="1:6">
      <c r="A10" s="7" t="s">
        <v>225</v>
      </c>
      <c r="B10" s="7">
        <v>27</v>
      </c>
      <c r="C10" s="7">
        <v>3</v>
      </c>
      <c r="D10" s="16">
        <v>1</v>
      </c>
      <c r="E10" s="7">
        <v>0.2</v>
      </c>
    </row>
    <row r="11" spans="1:6">
      <c r="A11" s="7" t="s">
        <v>226</v>
      </c>
      <c r="B11" s="7">
        <v>32</v>
      </c>
      <c r="C11" s="7">
        <v>6</v>
      </c>
      <c r="D11" s="16">
        <v>1</v>
      </c>
      <c r="E11" s="7">
        <v>0.2</v>
      </c>
    </row>
    <row r="12" spans="1:6">
      <c r="A12" s="7" t="s">
        <v>200</v>
      </c>
      <c r="B12" s="7"/>
      <c r="C12" s="7"/>
      <c r="D12" s="7"/>
      <c r="E12" s="7"/>
    </row>
    <row r="13" spans="1:6">
      <c r="A13" s="7" t="s">
        <v>201</v>
      </c>
      <c r="B13" s="7"/>
      <c r="C13" s="7"/>
      <c r="D13" s="7"/>
      <c r="E13" s="7"/>
    </row>
    <row r="14" spans="1:6">
      <c r="A14" s="7" t="s">
        <v>202</v>
      </c>
      <c r="B14" s="7"/>
      <c r="C14" s="7"/>
      <c r="D14" s="7"/>
      <c r="E14" s="7"/>
    </row>
    <row r="15" spans="1:6">
      <c r="A15" s="137" t="s">
        <v>205</v>
      </c>
      <c r="B15" s="137">
        <v>25</v>
      </c>
      <c r="C15" s="137">
        <v>5</v>
      </c>
      <c r="D15" s="137">
        <v>1</v>
      </c>
      <c r="E15" s="137">
        <v>0.5</v>
      </c>
      <c r="F15" s="2" t="s">
        <v>287</v>
      </c>
    </row>
    <row r="16" spans="1:6">
      <c r="A16" s="7" t="s">
        <v>203</v>
      </c>
      <c r="B16" s="7"/>
      <c r="C16" s="7"/>
      <c r="D16" s="7"/>
      <c r="E16" s="7"/>
    </row>
    <row r="17" spans="1:5">
      <c r="A17" s="7" t="s">
        <v>204</v>
      </c>
      <c r="B17" s="7"/>
      <c r="C17" s="7"/>
      <c r="D17" s="7"/>
      <c r="E17" s="7"/>
    </row>
    <row r="18" spans="1:5">
      <c r="A18" s="7"/>
      <c r="B18" s="7"/>
      <c r="C18" s="7"/>
      <c r="D18" s="7"/>
      <c r="E18" s="7"/>
    </row>
    <row r="19" spans="1:5">
      <c r="A19" s="7"/>
      <c r="B19" s="7"/>
      <c r="C19" s="7"/>
      <c r="D19" s="7"/>
      <c r="E19" s="7"/>
    </row>
    <row r="20" spans="1:5">
      <c r="A20" s="7"/>
      <c r="B20" s="7"/>
      <c r="C20" s="7"/>
      <c r="D20" s="7"/>
      <c r="E20" s="7"/>
    </row>
    <row r="21" spans="1:5">
      <c r="A21" s="7"/>
      <c r="B21" s="7"/>
      <c r="C21" s="7"/>
      <c r="D21" s="7"/>
      <c r="E21" s="7"/>
    </row>
    <row r="22" spans="1:5">
      <c r="A22" s="7"/>
      <c r="B22" s="7"/>
      <c r="C22" s="7"/>
      <c r="D22" s="7"/>
      <c r="E22" s="7"/>
    </row>
    <row r="23" spans="1:5">
      <c r="A23" s="7"/>
      <c r="B23" s="7"/>
      <c r="C23" s="7"/>
      <c r="D23" s="7"/>
      <c r="E23" s="7"/>
    </row>
    <row r="24" spans="1:5">
      <c r="A24" s="7"/>
      <c r="B24" s="7"/>
      <c r="C24" s="7"/>
      <c r="D24" s="7"/>
      <c r="E24" s="7"/>
    </row>
    <row r="25" spans="1:5">
      <c r="A25" s="7"/>
      <c r="B25" s="7"/>
      <c r="C25" s="7"/>
      <c r="D25" s="7"/>
      <c r="E25" s="7"/>
    </row>
    <row r="26" spans="1:5">
      <c r="A26" s="7"/>
      <c r="B26" s="7"/>
      <c r="C26" s="7"/>
      <c r="D26" s="7"/>
      <c r="E26" s="7"/>
    </row>
    <row r="27" spans="1:5">
      <c r="A27" s="7"/>
      <c r="B27" s="7"/>
      <c r="C27" s="7"/>
      <c r="D27" s="7"/>
      <c r="E27" s="7"/>
    </row>
  </sheetData>
  <mergeCells count="2">
    <mergeCell ref="B1:C1"/>
    <mergeCell ref="D1:E1"/>
  </mergeCells>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topLeftCell="A4" zoomScale="60" zoomScaleNormal="60" workbookViewId="0">
      <selection activeCell="M9" sqref="M9"/>
    </sheetView>
  </sheetViews>
  <sheetFormatPr defaultRowHeight="14"/>
  <cols>
    <col min="1" max="1" width="3.453125" style="38" bestFit="1" customWidth="1"/>
    <col min="2" max="2" width="17.36328125" style="38" bestFit="1" customWidth="1"/>
    <col min="3" max="3" width="119" style="38" customWidth="1"/>
    <col min="4" max="16384" width="8.7265625" style="38"/>
  </cols>
  <sheetData>
    <row r="2" spans="2:3">
      <c r="C2" s="38">
        <v>2</v>
      </c>
    </row>
    <row r="3" spans="2:3" ht="364">
      <c r="B3" s="38" t="s">
        <v>286</v>
      </c>
      <c r="C3" s="37" t="s">
        <v>305</v>
      </c>
    </row>
    <row r="4" spans="2:3">
      <c r="B4" s="38" t="s">
        <v>293</v>
      </c>
    </row>
    <row r="5" spans="2:3" ht="294">
      <c r="B5" s="38" t="s">
        <v>297</v>
      </c>
      <c r="C5" s="37" t="s">
        <v>304</v>
      </c>
    </row>
    <row r="6" spans="2:3" ht="308">
      <c r="B6" s="7" t="s">
        <v>224</v>
      </c>
      <c r="C6" s="37" t="s">
        <v>353</v>
      </c>
    </row>
    <row r="7" spans="2:3" ht="280">
      <c r="B7" s="7" t="s">
        <v>223</v>
      </c>
      <c r="C7" s="37" t="s">
        <v>353</v>
      </c>
    </row>
    <row r="8" spans="2:3" ht="280">
      <c r="B8" s="7" t="s">
        <v>222</v>
      </c>
      <c r="C8" s="37" t="s">
        <v>352</v>
      </c>
    </row>
    <row r="9" spans="2:3" ht="280">
      <c r="B9" s="7" t="s">
        <v>221</v>
      </c>
      <c r="C9" s="37" t="s">
        <v>353</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0"/>
  <sheetViews>
    <sheetView zoomScale="96" zoomScaleNormal="96" workbookViewId="0">
      <selection activeCell="AQ7" sqref="AQ7"/>
    </sheetView>
  </sheetViews>
  <sheetFormatPr defaultRowHeight="13"/>
  <cols>
    <col min="1" max="1" width="8.7265625" style="2"/>
    <col min="2" max="2" width="31.36328125" style="2" customWidth="1"/>
    <col min="3" max="3" width="7.6328125" style="2" customWidth="1"/>
    <col min="4" max="4" width="10.54296875" style="2" bestFit="1" customWidth="1"/>
    <col min="5" max="5" width="7.08984375" style="2" customWidth="1"/>
    <col min="6" max="7" width="9.36328125" style="2" bestFit="1" customWidth="1"/>
    <col min="8" max="8" width="10.7265625" style="2" bestFit="1" customWidth="1"/>
    <col min="9" max="9" width="10.26953125" style="2" bestFit="1" customWidth="1"/>
    <col min="10" max="14" width="11.26953125" style="2" customWidth="1"/>
    <col min="15" max="15" width="12.54296875" style="2" customWidth="1"/>
    <col min="16" max="16" width="9.36328125" style="2" bestFit="1" customWidth="1"/>
    <col min="17" max="17" width="9.36328125" style="2" customWidth="1"/>
    <col min="18" max="19" width="9.36328125" style="2" bestFit="1" customWidth="1"/>
    <col min="20" max="20" width="9.453125" style="2" bestFit="1" customWidth="1"/>
    <col min="21" max="25" width="9.36328125" style="2" bestFit="1" customWidth="1"/>
    <col min="26" max="26" width="10.54296875" style="2" bestFit="1" customWidth="1"/>
    <col min="27" max="27" width="9.453125" style="2" customWidth="1"/>
    <col min="28" max="28" width="9.36328125" style="2" bestFit="1" customWidth="1"/>
    <col min="29" max="29" width="11" style="2" bestFit="1" customWidth="1"/>
    <col min="30" max="31" width="9.36328125" style="2" bestFit="1" customWidth="1"/>
    <col min="32" max="32" width="8.08984375" style="2" customWidth="1"/>
    <col min="33" max="33" width="8.54296875" style="2" customWidth="1"/>
    <col min="34" max="34" width="8.08984375" style="2" customWidth="1"/>
    <col min="35" max="35" width="8.6328125" style="2" customWidth="1"/>
    <col min="36" max="36" width="6.26953125" style="2" customWidth="1"/>
    <col min="37" max="37" width="11.1796875" style="2" customWidth="1"/>
    <col min="38" max="38" width="7.1796875" style="2" customWidth="1"/>
    <col min="39" max="39" width="7.81640625" style="2" customWidth="1"/>
    <col min="40" max="53" width="9" style="2" customWidth="1"/>
    <col min="54" max="54" width="10.6328125" style="2" customWidth="1"/>
    <col min="55" max="58" width="9" style="2" customWidth="1"/>
    <col min="59" max="16384" width="8.7265625" style="2"/>
  </cols>
  <sheetData>
    <row r="1" spans="1:60" ht="15" customHeight="1">
      <c r="A1" s="1"/>
      <c r="B1" s="3"/>
      <c r="C1" s="3"/>
      <c r="D1" s="3"/>
      <c r="E1" s="3"/>
      <c r="F1" s="3"/>
      <c r="G1" s="3"/>
      <c r="H1" s="3"/>
      <c r="I1" s="23"/>
      <c r="J1" s="3"/>
      <c r="K1" s="4" t="s">
        <v>0</v>
      </c>
      <c r="L1" s="4"/>
      <c r="M1" s="4"/>
      <c r="N1" s="4"/>
      <c r="O1" s="4"/>
      <c r="P1" s="4"/>
      <c r="Q1" s="4"/>
      <c r="R1" s="4"/>
      <c r="S1" s="4"/>
      <c r="T1" s="4"/>
      <c r="U1" s="4"/>
      <c r="V1" s="4"/>
      <c r="W1" s="4"/>
      <c r="X1" s="4"/>
      <c r="Y1" s="4"/>
      <c r="Z1" s="410" t="s">
        <v>1</v>
      </c>
      <c r="AA1" s="410"/>
      <c r="AB1" s="3"/>
      <c r="AC1" s="3" t="s">
        <v>2</v>
      </c>
      <c r="AD1" s="3"/>
      <c r="AE1" s="411" t="s">
        <v>3</v>
      </c>
      <c r="AF1" s="411"/>
      <c r="AG1" s="411"/>
      <c r="AH1" s="411"/>
      <c r="AI1" s="411"/>
      <c r="AJ1" s="3"/>
      <c r="AK1" s="3" t="s">
        <v>4</v>
      </c>
      <c r="AL1" s="3"/>
      <c r="AM1" s="3" t="s">
        <v>5</v>
      </c>
      <c r="AN1" s="412" t="s">
        <v>88</v>
      </c>
      <c r="AO1" s="413"/>
      <c r="AP1" s="414"/>
      <c r="AQ1" s="5"/>
      <c r="AR1" s="406" t="s">
        <v>6</v>
      </c>
      <c r="AS1" s="406"/>
      <c r="AT1" s="406" t="s">
        <v>50</v>
      </c>
      <c r="AU1" s="406"/>
      <c r="AV1" s="5"/>
      <c r="AW1" s="5"/>
      <c r="AX1" s="5"/>
      <c r="AY1" s="5"/>
      <c r="AZ1" s="5"/>
      <c r="BA1" s="5"/>
      <c r="BB1" s="5"/>
      <c r="BC1" s="5"/>
      <c r="BD1" s="5"/>
      <c r="BE1" s="5"/>
      <c r="BF1" s="39"/>
      <c r="BG1" s="39"/>
      <c r="BH1" s="39"/>
    </row>
    <row r="2" spans="1:60" ht="45" customHeight="1">
      <c r="A2" s="24" t="s">
        <v>116</v>
      </c>
      <c r="B2" s="25" t="s">
        <v>83</v>
      </c>
      <c r="C2" s="26" t="s">
        <v>51</v>
      </c>
      <c r="D2" s="26" t="s">
        <v>7</v>
      </c>
      <c r="E2" s="26" t="s">
        <v>52</v>
      </c>
      <c r="F2" s="26" t="s">
        <v>118</v>
      </c>
      <c r="G2" s="26" t="s">
        <v>8</v>
      </c>
      <c r="H2" s="26" t="s">
        <v>9</v>
      </c>
      <c r="I2" s="26" t="s">
        <v>109</v>
      </c>
      <c r="J2" s="26" t="s">
        <v>10</v>
      </c>
      <c r="K2" s="27" t="s">
        <v>11</v>
      </c>
      <c r="L2" s="27" t="s">
        <v>12</v>
      </c>
      <c r="M2" s="27" t="s">
        <v>123</v>
      </c>
      <c r="N2" s="27" t="s">
        <v>13</v>
      </c>
      <c r="O2" s="27" t="s">
        <v>14</v>
      </c>
      <c r="P2" s="27" t="s">
        <v>15</v>
      </c>
      <c r="Q2" s="27" t="s">
        <v>125</v>
      </c>
      <c r="R2" s="27" t="s">
        <v>16</v>
      </c>
      <c r="S2" s="27" t="s">
        <v>53</v>
      </c>
      <c r="T2" s="28" t="s">
        <v>17</v>
      </c>
      <c r="U2" s="28" t="s">
        <v>18</v>
      </c>
      <c r="V2" s="27" t="s">
        <v>19</v>
      </c>
      <c r="W2" s="27" t="s">
        <v>20</v>
      </c>
      <c r="X2" s="27" t="s">
        <v>21</v>
      </c>
      <c r="Y2" s="27" t="s">
        <v>22</v>
      </c>
      <c r="Z2" s="26" t="s">
        <v>23</v>
      </c>
      <c r="AA2" s="26" t="s">
        <v>24</v>
      </c>
      <c r="AB2" s="26" t="s">
        <v>25</v>
      </c>
      <c r="AC2" s="26" t="s">
        <v>26</v>
      </c>
      <c r="AD2" s="26" t="s">
        <v>27</v>
      </c>
      <c r="AE2" s="29" t="s">
        <v>108</v>
      </c>
      <c r="AF2" s="29" t="s">
        <v>157</v>
      </c>
      <c r="AG2" s="26" t="s">
        <v>28</v>
      </c>
      <c r="AH2" s="29" t="s">
        <v>158</v>
      </c>
      <c r="AI2" s="26" t="s">
        <v>159</v>
      </c>
      <c r="AJ2" s="30" t="s">
        <v>29</v>
      </c>
      <c r="AK2" s="29" t="s">
        <v>30</v>
      </c>
      <c r="AL2" s="26" t="s">
        <v>31</v>
      </c>
      <c r="AM2" s="26" t="s">
        <v>32</v>
      </c>
      <c r="AN2" s="31" t="s">
        <v>33</v>
      </c>
      <c r="AO2" s="31" t="s">
        <v>54</v>
      </c>
      <c r="AP2" s="31" t="s">
        <v>41</v>
      </c>
      <c r="AQ2" s="32" t="s">
        <v>34</v>
      </c>
      <c r="AR2" s="32" t="s">
        <v>35</v>
      </c>
      <c r="AS2" s="32" t="s">
        <v>36</v>
      </c>
      <c r="AT2" s="32" t="s">
        <v>37</v>
      </c>
      <c r="AU2" s="32" t="s">
        <v>38</v>
      </c>
      <c r="AV2" s="32" t="s">
        <v>39</v>
      </c>
      <c r="AW2" s="32" t="s">
        <v>40</v>
      </c>
      <c r="AX2" s="32" t="s">
        <v>42</v>
      </c>
      <c r="AY2" s="32" t="s">
        <v>43</v>
      </c>
      <c r="AZ2" s="32" t="s">
        <v>44</v>
      </c>
      <c r="BA2" s="32" t="s">
        <v>45</v>
      </c>
      <c r="BB2" s="32" t="s">
        <v>46</v>
      </c>
      <c r="BC2" s="32" t="s">
        <v>47</v>
      </c>
      <c r="BD2" s="32" t="s">
        <v>48</v>
      </c>
      <c r="BE2" s="32" t="s">
        <v>49</v>
      </c>
      <c r="BF2" s="40" t="s">
        <v>121</v>
      </c>
      <c r="BG2" s="40" t="s">
        <v>210</v>
      </c>
      <c r="BH2" s="40" t="s">
        <v>98</v>
      </c>
    </row>
    <row r="3" spans="1:60" ht="45" customHeight="1">
      <c r="A3" s="24" t="s">
        <v>115</v>
      </c>
      <c r="B3" s="25" t="s">
        <v>114</v>
      </c>
      <c r="C3" s="26" t="s">
        <v>277</v>
      </c>
      <c r="D3" s="26" t="s">
        <v>56</v>
      </c>
      <c r="E3" s="26" t="s">
        <v>165</v>
      </c>
      <c r="F3" s="26" t="s">
        <v>119</v>
      </c>
      <c r="G3" s="26" t="s">
        <v>57</v>
      </c>
      <c r="H3" s="26" t="s">
        <v>58</v>
      </c>
      <c r="I3" s="26" t="s">
        <v>59</v>
      </c>
      <c r="J3" s="26" t="s">
        <v>60</v>
      </c>
      <c r="K3" s="27" t="s">
        <v>61</v>
      </c>
      <c r="L3" s="27" t="s">
        <v>62</v>
      </c>
      <c r="M3" s="27" t="s">
        <v>124</v>
      </c>
      <c r="N3" s="27" t="s">
        <v>63</v>
      </c>
      <c r="O3" s="27" t="s">
        <v>64</v>
      </c>
      <c r="P3" s="27" t="s">
        <v>65</v>
      </c>
      <c r="Q3" s="27" t="s">
        <v>126</v>
      </c>
      <c r="R3" s="27" t="s">
        <v>66</v>
      </c>
      <c r="S3" s="27" t="s">
        <v>67</v>
      </c>
      <c r="T3" s="28" t="s">
        <v>68</v>
      </c>
      <c r="U3" s="28" t="s">
        <v>69</v>
      </c>
      <c r="V3" s="27" t="s">
        <v>70</v>
      </c>
      <c r="W3" s="27" t="s">
        <v>71</v>
      </c>
      <c r="X3" s="27" t="s">
        <v>72</v>
      </c>
      <c r="Y3" s="27" t="s">
        <v>73</v>
      </c>
      <c r="Z3" s="26" t="s">
        <v>74</v>
      </c>
      <c r="AA3" s="26" t="s">
        <v>166</v>
      </c>
      <c r="AB3" s="26" t="s">
        <v>75</v>
      </c>
      <c r="AC3" s="26" t="s">
        <v>76</v>
      </c>
      <c r="AD3" s="26" t="s">
        <v>77</v>
      </c>
      <c r="AE3" s="29" t="s">
        <v>106</v>
      </c>
      <c r="AF3" s="29" t="s">
        <v>157</v>
      </c>
      <c r="AG3" s="26" t="s">
        <v>78</v>
      </c>
      <c r="AH3" s="29" t="s">
        <v>160</v>
      </c>
      <c r="AI3" s="26" t="s">
        <v>107</v>
      </c>
      <c r="AJ3" s="30" t="s">
        <v>79</v>
      </c>
      <c r="AK3" s="29" t="s">
        <v>80</v>
      </c>
      <c r="AL3" s="26" t="s">
        <v>81</v>
      </c>
      <c r="AM3" s="26" t="s">
        <v>82</v>
      </c>
      <c r="AN3" s="31" t="s">
        <v>85</v>
      </c>
      <c r="AO3" s="31" t="s">
        <v>86</v>
      </c>
      <c r="AP3" s="31" t="s">
        <v>120</v>
      </c>
      <c r="AQ3" s="32" t="s">
        <v>87</v>
      </c>
      <c r="AR3" s="32" t="s">
        <v>89</v>
      </c>
      <c r="AS3" s="32" t="s">
        <v>90</v>
      </c>
      <c r="AT3" s="32" t="s">
        <v>91</v>
      </c>
      <c r="AU3" s="32" t="s">
        <v>92</v>
      </c>
      <c r="AV3" s="32" t="s">
        <v>93</v>
      </c>
      <c r="AW3" s="32" t="s">
        <v>94</v>
      </c>
      <c r="AX3" s="32" t="s">
        <v>95</v>
      </c>
      <c r="AY3" s="32" t="s">
        <v>96</v>
      </c>
      <c r="AZ3" s="32" t="s">
        <v>97</v>
      </c>
      <c r="BA3" s="32" t="s">
        <v>99</v>
      </c>
      <c r="BB3" s="32" t="s">
        <v>101</v>
      </c>
      <c r="BC3" s="32" t="s">
        <v>102</v>
      </c>
      <c r="BD3" s="32" t="s">
        <v>103</v>
      </c>
      <c r="BE3" s="32" t="s">
        <v>104</v>
      </c>
      <c r="BF3" s="40" t="s">
        <v>122</v>
      </c>
      <c r="BG3" s="40" t="s">
        <v>211</v>
      </c>
      <c r="BH3" s="40" t="s">
        <v>100</v>
      </c>
    </row>
    <row r="4" spans="1:60" s="145" customFormat="1">
      <c r="A4" s="141" t="s">
        <v>105</v>
      </c>
      <c r="B4" s="142" t="s">
        <v>84</v>
      </c>
      <c r="C4" s="143">
        <v>8.5714285714285712</v>
      </c>
      <c r="D4" s="143">
        <v>36.285714285714285</v>
      </c>
      <c r="E4" s="143">
        <v>30</v>
      </c>
      <c r="F4" s="143">
        <v>2.2285714285714286</v>
      </c>
      <c r="G4" s="143">
        <v>1.0285714285714287</v>
      </c>
      <c r="H4" s="143">
        <v>4.5142857142857142</v>
      </c>
      <c r="I4" s="143">
        <v>0.27142857142857141</v>
      </c>
      <c r="J4" s="144">
        <v>7.2857142857142856E-2</v>
      </c>
      <c r="K4" s="143">
        <v>28.5</v>
      </c>
      <c r="L4" s="143">
        <v>36.057142857142857</v>
      </c>
      <c r="M4" s="143">
        <v>29.7</v>
      </c>
      <c r="N4" s="143">
        <v>21.357142857142858</v>
      </c>
      <c r="O4" s="143">
        <v>10.185714285714285</v>
      </c>
      <c r="P4" s="143">
        <v>8.1428571428571423</v>
      </c>
      <c r="Q4" s="143">
        <v>0</v>
      </c>
      <c r="R4" s="143">
        <v>0.68571428571428572</v>
      </c>
      <c r="S4" s="143">
        <v>0.51428571428571435</v>
      </c>
      <c r="T4" s="143">
        <v>5.7142857142857148E-2</v>
      </c>
      <c r="U4" s="143">
        <v>7.1428571428571425E-2</v>
      </c>
      <c r="V4" s="143">
        <v>5.1142857142857139</v>
      </c>
      <c r="W4" s="143">
        <v>1.2428571428571427</v>
      </c>
      <c r="X4" s="143">
        <v>2.3428571428571425</v>
      </c>
      <c r="Y4" s="143">
        <v>2.8714285714285714</v>
      </c>
      <c r="Z4" s="143">
        <v>39</v>
      </c>
      <c r="AA4" s="143">
        <v>0</v>
      </c>
      <c r="AB4" s="143">
        <v>0.31428571428571433</v>
      </c>
      <c r="AC4" s="143">
        <v>2.4714285714285715</v>
      </c>
      <c r="AD4" s="143">
        <v>3.0857142857142859</v>
      </c>
      <c r="AE4" s="143">
        <v>0.12857142857142859</v>
      </c>
      <c r="AF4" s="143">
        <v>8.5714285714285715E-2</v>
      </c>
      <c r="AG4" s="143">
        <v>0.95714285714285718</v>
      </c>
      <c r="AH4" s="143">
        <v>0.13428571428571429</v>
      </c>
      <c r="AI4" s="143">
        <v>0.81857142857142862</v>
      </c>
      <c r="AJ4" s="143">
        <v>18.442857142857143</v>
      </c>
      <c r="AK4" s="143">
        <v>0.21428571428571427</v>
      </c>
      <c r="AL4" s="143">
        <v>15.342857142857143</v>
      </c>
      <c r="AM4" s="143">
        <v>13.642857142857142</v>
      </c>
      <c r="AN4" s="143">
        <v>109.2</v>
      </c>
      <c r="AO4" s="143">
        <v>187.20000000000002</v>
      </c>
      <c r="AP4" s="143">
        <v>133.71428571428572</v>
      </c>
      <c r="AQ4" s="143">
        <v>158.22857142857143</v>
      </c>
      <c r="AR4" s="143">
        <v>58</v>
      </c>
      <c r="AS4" s="143">
        <v>9.5714285714285712</v>
      </c>
      <c r="AT4" s="143">
        <v>100.28571428571429</v>
      </c>
      <c r="AU4" s="143">
        <v>111.42857142857143</v>
      </c>
      <c r="AV4" s="143">
        <v>82.428571428571431</v>
      </c>
      <c r="AW4" s="143">
        <v>24.571428571428573</v>
      </c>
      <c r="AX4" s="143">
        <v>60.142857142857146</v>
      </c>
      <c r="AY4" s="143">
        <f>(515+3100)/7</f>
        <v>516.42857142857144</v>
      </c>
      <c r="AZ4" s="143">
        <v>60.142857142857146</v>
      </c>
      <c r="BA4" s="143">
        <v>140.42857142857142</v>
      </c>
      <c r="BB4" s="143">
        <v>423.42857142857144</v>
      </c>
      <c r="BC4" s="143">
        <v>35.714285714285715</v>
      </c>
      <c r="BD4" s="143">
        <v>222.85714285714286</v>
      </c>
      <c r="BE4" s="143">
        <v>102.57142857142857</v>
      </c>
      <c r="BF4" s="141">
        <v>0</v>
      </c>
      <c r="BG4" s="141">
        <v>0</v>
      </c>
      <c r="BH4" s="143">
        <v>228.57142857142858</v>
      </c>
    </row>
    <row r="5" spans="1:60" s="145" customFormat="1">
      <c r="A5" s="141" t="s">
        <v>105</v>
      </c>
      <c r="B5" s="142" t="s">
        <v>272</v>
      </c>
      <c r="C5" s="143">
        <v>300</v>
      </c>
      <c r="D5" s="143">
        <v>300</v>
      </c>
      <c r="E5" s="143">
        <v>228</v>
      </c>
      <c r="F5" s="143">
        <v>15</v>
      </c>
      <c r="G5" s="143">
        <v>6.9</v>
      </c>
      <c r="H5" s="143">
        <v>47.1</v>
      </c>
      <c r="I5" s="143">
        <v>3.6</v>
      </c>
      <c r="J5" s="144">
        <v>1.35</v>
      </c>
      <c r="K5" s="143">
        <v>531</v>
      </c>
      <c r="L5" s="143">
        <v>468</v>
      </c>
      <c r="M5" s="143">
        <v>216</v>
      </c>
      <c r="N5" s="143">
        <v>282</v>
      </c>
      <c r="O5" s="143">
        <v>0</v>
      </c>
      <c r="P5" s="143">
        <v>225</v>
      </c>
      <c r="Q5" s="143">
        <v>0</v>
      </c>
      <c r="R5" s="143">
        <v>3.3</v>
      </c>
      <c r="S5" s="143">
        <v>5.4</v>
      </c>
      <c r="T5" s="143">
        <v>0</v>
      </c>
      <c r="U5" s="143">
        <v>0</v>
      </c>
      <c r="V5" s="143">
        <v>0</v>
      </c>
      <c r="W5" s="143">
        <v>0</v>
      </c>
      <c r="X5" s="143">
        <v>0</v>
      </c>
      <c r="Y5" s="143">
        <v>0</v>
      </c>
      <c r="Z5" s="143">
        <v>246</v>
      </c>
      <c r="AA5" s="143">
        <v>0</v>
      </c>
      <c r="AB5" s="143">
        <v>6</v>
      </c>
      <c r="AC5" s="143">
        <v>10.5</v>
      </c>
      <c r="AD5" s="143">
        <v>0</v>
      </c>
      <c r="AE5" s="143">
        <v>1</v>
      </c>
      <c r="AF5" s="143">
        <v>1.05</v>
      </c>
      <c r="AG5" s="143">
        <v>0</v>
      </c>
      <c r="AH5" s="143">
        <v>1.35</v>
      </c>
      <c r="AI5" s="143">
        <v>1.35</v>
      </c>
      <c r="AJ5" s="143">
        <v>0</v>
      </c>
      <c r="AK5" s="143">
        <v>0</v>
      </c>
      <c r="AL5" s="143">
        <v>0</v>
      </c>
      <c r="AM5" s="143">
        <v>240</v>
      </c>
      <c r="AN5" s="143">
        <v>800</v>
      </c>
      <c r="AO5" s="143">
        <v>800</v>
      </c>
      <c r="AP5" s="143">
        <v>800</v>
      </c>
      <c r="AQ5" s="143"/>
      <c r="AR5" s="143"/>
      <c r="AS5" s="143"/>
      <c r="AT5" s="143"/>
      <c r="AU5" s="143"/>
      <c r="AV5" s="143"/>
      <c r="AW5" s="143"/>
      <c r="AX5" s="143"/>
      <c r="AY5" s="143"/>
      <c r="AZ5" s="143"/>
      <c r="BA5" s="143"/>
      <c r="BB5" s="143"/>
      <c r="BC5" s="143"/>
      <c r="BD5" s="143"/>
      <c r="BE5" s="143"/>
      <c r="BF5" s="141"/>
      <c r="BG5" s="141"/>
      <c r="BH5" s="143"/>
    </row>
    <row r="6" spans="1:60" s="145" customFormat="1">
      <c r="A6" s="141" t="s">
        <v>105</v>
      </c>
      <c r="B6" s="142" t="s">
        <v>273</v>
      </c>
      <c r="C6" s="143">
        <v>15</v>
      </c>
      <c r="D6" s="143"/>
      <c r="E6" s="143">
        <v>150</v>
      </c>
      <c r="F6" s="143"/>
      <c r="G6" s="143"/>
      <c r="H6" s="143"/>
      <c r="I6" s="143"/>
      <c r="J6" s="144"/>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1"/>
      <c r="BG6" s="141"/>
      <c r="BH6" s="143"/>
    </row>
    <row r="7" spans="1:60" s="145" customFormat="1">
      <c r="A7" s="141" t="s">
        <v>105</v>
      </c>
      <c r="B7" s="142" t="s">
        <v>274</v>
      </c>
      <c r="C7" s="143">
        <v>50</v>
      </c>
      <c r="D7" s="143">
        <v>210</v>
      </c>
      <c r="E7" s="143">
        <v>180</v>
      </c>
      <c r="F7" s="143">
        <v>13.5</v>
      </c>
      <c r="G7" s="143">
        <v>3.5</v>
      </c>
      <c r="H7" s="143">
        <v>32</v>
      </c>
      <c r="I7" s="143">
        <v>0</v>
      </c>
      <c r="J7" s="144">
        <v>0.12</v>
      </c>
      <c r="K7" s="143">
        <v>47.5</v>
      </c>
      <c r="L7" s="143">
        <v>162</v>
      </c>
      <c r="M7" s="143">
        <v>219</v>
      </c>
      <c r="N7" s="143">
        <v>69</v>
      </c>
      <c r="O7" s="143">
        <v>20.2</v>
      </c>
      <c r="P7" s="143">
        <v>83.8</v>
      </c>
      <c r="Q7" s="143">
        <v>0</v>
      </c>
      <c r="R7" s="143">
        <v>1.3</v>
      </c>
      <c r="S7" s="143">
        <v>5</v>
      </c>
      <c r="T7" s="143">
        <v>0.1</v>
      </c>
      <c r="U7" s="143">
        <v>0.2</v>
      </c>
      <c r="V7" s="143">
        <v>9.5500000000000007</v>
      </c>
      <c r="W7" s="143">
        <v>0</v>
      </c>
      <c r="X7" s="143">
        <v>0</v>
      </c>
      <c r="Y7" s="143">
        <v>0</v>
      </c>
      <c r="Z7" s="143"/>
      <c r="AA7" s="143"/>
      <c r="AB7" s="143"/>
      <c r="AC7" s="143"/>
      <c r="AD7" s="143"/>
      <c r="AE7" s="143"/>
      <c r="AF7" s="143"/>
      <c r="AG7" s="143"/>
      <c r="AH7" s="143"/>
      <c r="AI7" s="143"/>
      <c r="AJ7" s="143"/>
      <c r="AK7" s="143"/>
      <c r="AL7" s="143"/>
      <c r="AM7" s="143"/>
      <c r="AN7" s="143">
        <v>1923</v>
      </c>
      <c r="AO7" s="143">
        <v>2037</v>
      </c>
      <c r="AP7" s="143">
        <v>1602</v>
      </c>
      <c r="AQ7" s="143"/>
      <c r="AR7" s="143"/>
      <c r="AS7" s="143"/>
      <c r="AT7" s="143"/>
      <c r="AU7" s="143"/>
      <c r="AV7" s="143"/>
      <c r="AW7" s="143"/>
      <c r="AX7" s="143"/>
      <c r="AY7" s="143"/>
      <c r="AZ7" s="143"/>
      <c r="BA7" s="143"/>
      <c r="BB7" s="143"/>
      <c r="BC7" s="143"/>
      <c r="BD7" s="143"/>
      <c r="BE7" s="143"/>
      <c r="BF7" s="141"/>
      <c r="BG7" s="141"/>
      <c r="BH7" s="143"/>
    </row>
    <row r="8" spans="1:60" s="145" customFormat="1">
      <c r="A8" s="141" t="s">
        <v>105</v>
      </c>
      <c r="B8" s="152" t="s">
        <v>113</v>
      </c>
      <c r="C8" s="152">
        <v>12.5</v>
      </c>
      <c r="D8" s="152">
        <v>44.5</v>
      </c>
      <c r="E8" s="152">
        <v>75</v>
      </c>
      <c r="F8" s="152">
        <v>5.65</v>
      </c>
      <c r="G8" s="152">
        <v>6.4999999999999997E-3</v>
      </c>
      <c r="H8" s="152">
        <v>5.7</v>
      </c>
      <c r="I8" s="152">
        <v>0.625</v>
      </c>
      <c r="J8" s="152">
        <v>0.55000000000000004</v>
      </c>
      <c r="K8" s="152">
        <v>30</v>
      </c>
      <c r="L8" s="152">
        <v>95</v>
      </c>
      <c r="M8" s="152">
        <v>35</v>
      </c>
      <c r="N8" s="152">
        <v>62.5</v>
      </c>
      <c r="O8" s="152">
        <v>10</v>
      </c>
      <c r="P8" s="152">
        <v>31.5</v>
      </c>
      <c r="Q8" s="152">
        <v>0</v>
      </c>
      <c r="R8" s="152">
        <v>0.5</v>
      </c>
      <c r="S8" s="152">
        <v>0.65</v>
      </c>
      <c r="T8" s="152">
        <v>62.5</v>
      </c>
      <c r="U8" s="152">
        <v>0.19</v>
      </c>
      <c r="V8" s="152">
        <v>12.5</v>
      </c>
      <c r="W8" s="152">
        <v>3.75</v>
      </c>
      <c r="X8" s="152">
        <v>4.4000000000000004</v>
      </c>
      <c r="Y8" s="152">
        <v>5</v>
      </c>
      <c r="Z8" s="152">
        <v>62.5</v>
      </c>
      <c r="AA8" s="152">
        <v>0</v>
      </c>
      <c r="AB8" s="152">
        <v>1</v>
      </c>
      <c r="AC8" s="152">
        <v>0.95</v>
      </c>
      <c r="AD8" s="152">
        <v>5.5</v>
      </c>
      <c r="AE8" s="152">
        <v>0.2</v>
      </c>
      <c r="AF8" s="152">
        <v>0.2</v>
      </c>
      <c r="AG8" s="152">
        <v>1.1499999999999999</v>
      </c>
      <c r="AH8" s="152">
        <v>0.2</v>
      </c>
      <c r="AI8" s="152">
        <v>0.28999999999999998</v>
      </c>
      <c r="AJ8" s="152">
        <v>19</v>
      </c>
      <c r="AK8" s="152">
        <v>0.375</v>
      </c>
      <c r="AL8" s="152">
        <v>3.15</v>
      </c>
      <c r="AM8" s="152">
        <v>9.5</v>
      </c>
      <c r="AN8" s="141">
        <f>6800*$F$8/100</f>
        <v>384.2</v>
      </c>
      <c r="AO8" s="141">
        <f>11100*$F$8/100</f>
        <v>627.15000000000009</v>
      </c>
      <c r="AP8" s="141">
        <f>6800*$F$8/100</f>
        <v>384.2</v>
      </c>
      <c r="AQ8" s="141">
        <f>9900*$F$8/100</f>
        <v>559.35</v>
      </c>
      <c r="AR8" s="141">
        <f>2400*$F$8/100</f>
        <v>135.6</v>
      </c>
      <c r="AS8" s="141">
        <f>2400*$F$8/100</f>
        <v>135.6</v>
      </c>
      <c r="AT8" s="141">
        <f>3800*$F$8/100</f>
        <v>214.7</v>
      </c>
      <c r="AU8" s="141">
        <f>3500*$F$8/100</f>
        <v>197.75</v>
      </c>
      <c r="AV8" s="141">
        <f>8000*$F$8/100</f>
        <v>452</v>
      </c>
      <c r="AW8" s="141">
        <f>2100*$F$8/100</f>
        <v>118.65</v>
      </c>
      <c r="AX8" s="141">
        <f>2200*$F$8/100</f>
        <v>124.3</v>
      </c>
      <c r="AY8" s="141">
        <f>3000*$F$8/100</f>
        <v>169.5</v>
      </c>
      <c r="AZ8" s="141">
        <f>5000*$F$8/100</f>
        <v>282.5</v>
      </c>
      <c r="BA8" s="141">
        <f>11300*$F$8/100</f>
        <v>638.45000000000005</v>
      </c>
      <c r="BB8" s="141">
        <f>19200*$F$8/100</f>
        <v>1084.8</v>
      </c>
      <c r="BC8" s="141">
        <f>2200*$F$8/100</f>
        <v>124.3</v>
      </c>
      <c r="BD8" s="141">
        <f>5200*$F$8/100</f>
        <v>293.8</v>
      </c>
      <c r="BE8" s="141">
        <f>5200*$F$8/100</f>
        <v>293.8</v>
      </c>
      <c r="BF8" s="141">
        <v>0</v>
      </c>
      <c r="BG8" s="141">
        <v>0</v>
      </c>
      <c r="BH8" s="141">
        <v>0</v>
      </c>
    </row>
    <row r="9" spans="1:60" s="146" customFormat="1">
      <c r="A9" s="50" t="s">
        <v>105</v>
      </c>
      <c r="B9" s="148" t="s">
        <v>110</v>
      </c>
      <c r="C9" s="50">
        <v>10.1</v>
      </c>
      <c r="D9" s="50">
        <v>43.7</v>
      </c>
      <c r="E9" s="50">
        <v>38.299999999999997</v>
      </c>
      <c r="F9" s="50">
        <v>1.8</v>
      </c>
      <c r="G9" s="50">
        <v>1.4</v>
      </c>
      <c r="H9" s="50">
        <v>5.7</v>
      </c>
      <c r="I9" s="50">
        <v>0.4</v>
      </c>
      <c r="J9" s="50">
        <v>0.49</v>
      </c>
      <c r="K9" s="50">
        <v>32.299999999999997</v>
      </c>
      <c r="L9" s="50">
        <v>63.5</v>
      </c>
      <c r="M9" s="50">
        <v>45.5</v>
      </c>
      <c r="N9" s="50">
        <v>45.5</v>
      </c>
      <c r="O9" s="50">
        <v>9.3000000000000007</v>
      </c>
      <c r="P9" s="50">
        <v>26.3</v>
      </c>
      <c r="Q9" s="50">
        <v>0</v>
      </c>
      <c r="R9" s="50">
        <v>0.4</v>
      </c>
      <c r="S9" s="50">
        <v>0.4</v>
      </c>
      <c r="T9" s="50">
        <v>28.8</v>
      </c>
      <c r="U9" s="50">
        <v>0.1</v>
      </c>
      <c r="V9" s="50">
        <v>6.5</v>
      </c>
      <c r="W9" s="50">
        <v>2.2000000000000002</v>
      </c>
      <c r="X9" s="50">
        <v>2.2999999999999998</v>
      </c>
      <c r="Y9" s="50">
        <v>4.3</v>
      </c>
      <c r="Z9" s="50">
        <v>45.5</v>
      </c>
      <c r="AA9" s="50">
        <v>2</v>
      </c>
      <c r="AB9" s="50">
        <v>1.3</v>
      </c>
      <c r="AC9" s="50">
        <v>0.8</v>
      </c>
      <c r="AD9" s="50">
        <v>3.3</v>
      </c>
      <c r="AE9" s="50">
        <v>0.1</v>
      </c>
      <c r="AF9" s="50">
        <v>0.1</v>
      </c>
      <c r="AG9" s="50">
        <v>0.6</v>
      </c>
      <c r="AH9" s="50">
        <v>0.1</v>
      </c>
      <c r="AI9" s="50">
        <v>0.2</v>
      </c>
      <c r="AJ9" s="50">
        <v>13.2</v>
      </c>
      <c r="AK9" s="50">
        <v>0.4</v>
      </c>
      <c r="AL9" s="50">
        <v>1.8</v>
      </c>
      <c r="AM9" s="50">
        <v>5.5</v>
      </c>
      <c r="AN9" s="149" t="s">
        <v>55</v>
      </c>
      <c r="AO9" s="149" t="s">
        <v>55</v>
      </c>
      <c r="AP9" s="149" t="s">
        <v>55</v>
      </c>
      <c r="AQ9" s="149" t="s">
        <v>55</v>
      </c>
      <c r="AR9" s="149" t="s">
        <v>55</v>
      </c>
      <c r="AS9" s="149" t="s">
        <v>55</v>
      </c>
      <c r="AT9" s="149" t="s">
        <v>55</v>
      </c>
      <c r="AU9" s="149" t="s">
        <v>55</v>
      </c>
      <c r="AV9" s="149" t="s">
        <v>55</v>
      </c>
      <c r="AW9" s="149" t="s">
        <v>55</v>
      </c>
      <c r="AX9" s="149" t="s">
        <v>55</v>
      </c>
      <c r="AY9" s="149" t="s">
        <v>55</v>
      </c>
      <c r="AZ9" s="149" t="s">
        <v>55</v>
      </c>
      <c r="BA9" s="149" t="s">
        <v>55</v>
      </c>
      <c r="BB9" s="149" t="s">
        <v>55</v>
      </c>
      <c r="BC9" s="149" t="s">
        <v>55</v>
      </c>
      <c r="BD9" s="149" t="s">
        <v>55</v>
      </c>
      <c r="BE9" s="149" t="s">
        <v>55</v>
      </c>
      <c r="BF9" s="50"/>
      <c r="BG9" s="50"/>
      <c r="BH9" s="149" t="s">
        <v>55</v>
      </c>
    </row>
    <row r="10" spans="1:60">
      <c r="A10" s="7" t="s">
        <v>105</v>
      </c>
      <c r="B10" s="33" t="s">
        <v>280</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34"/>
      <c r="AO10" s="34"/>
      <c r="AP10" s="34"/>
      <c r="AQ10" s="34"/>
      <c r="AR10" s="34"/>
      <c r="AS10" s="34"/>
      <c r="AT10" s="34"/>
      <c r="AU10" s="34"/>
      <c r="AV10" s="34"/>
      <c r="AW10" s="34"/>
      <c r="AX10" s="34"/>
      <c r="AY10" s="34"/>
      <c r="AZ10" s="34"/>
      <c r="BA10" s="34"/>
      <c r="BB10" s="34"/>
      <c r="BC10" s="34"/>
      <c r="BD10" s="34"/>
      <c r="BE10" s="34"/>
      <c r="BF10" s="7"/>
      <c r="BG10" s="7"/>
      <c r="BH10" s="34"/>
    </row>
    <row r="11" spans="1:60">
      <c r="A11" s="7" t="s">
        <v>105</v>
      </c>
      <c r="B11" s="33" t="s">
        <v>281</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34"/>
      <c r="AO11" s="34"/>
      <c r="AP11" s="34"/>
      <c r="AQ11" s="34"/>
      <c r="AR11" s="34"/>
      <c r="AS11" s="34"/>
      <c r="AT11" s="34"/>
      <c r="AU11" s="34"/>
      <c r="AV11" s="34"/>
      <c r="AW11" s="34"/>
      <c r="AX11" s="34"/>
      <c r="AY11" s="34"/>
      <c r="AZ11" s="34"/>
      <c r="BA11" s="34"/>
      <c r="BB11" s="34"/>
      <c r="BC11" s="34"/>
      <c r="BD11" s="34"/>
      <c r="BE11" s="34"/>
      <c r="BF11" s="7"/>
      <c r="BG11" s="7"/>
      <c r="BH11" s="34"/>
    </row>
    <row r="12" spans="1:60">
      <c r="A12" s="7" t="s">
        <v>105</v>
      </c>
      <c r="B12" s="33" t="s">
        <v>283</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34"/>
      <c r="AO12" s="34"/>
      <c r="AP12" s="34"/>
      <c r="AQ12" s="34"/>
      <c r="AR12" s="34"/>
      <c r="AS12" s="34"/>
      <c r="AT12" s="34"/>
      <c r="AU12" s="34"/>
      <c r="AV12" s="34"/>
      <c r="AW12" s="34"/>
      <c r="AX12" s="34"/>
      <c r="AY12" s="34"/>
      <c r="AZ12" s="34"/>
      <c r="BA12" s="34"/>
      <c r="BB12" s="34"/>
      <c r="BC12" s="34"/>
      <c r="BD12" s="34"/>
      <c r="BE12" s="34"/>
      <c r="BF12" s="7"/>
      <c r="BG12" s="7"/>
      <c r="BH12" s="34"/>
    </row>
    <row r="13" spans="1:60">
      <c r="A13" s="7" t="s">
        <v>105</v>
      </c>
      <c r="B13" s="33" t="s">
        <v>284</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34"/>
      <c r="AO13" s="34"/>
      <c r="AP13" s="34"/>
      <c r="AQ13" s="34"/>
      <c r="AR13" s="34"/>
      <c r="AS13" s="34"/>
      <c r="AT13" s="34"/>
      <c r="AU13" s="34"/>
      <c r="AV13" s="34"/>
      <c r="AW13" s="34"/>
      <c r="AX13" s="34"/>
      <c r="AY13" s="34"/>
      <c r="AZ13" s="34"/>
      <c r="BA13" s="34"/>
      <c r="BB13" s="34"/>
      <c r="BC13" s="34"/>
      <c r="BD13" s="34"/>
      <c r="BE13" s="34"/>
      <c r="BF13" s="7"/>
      <c r="BG13" s="7"/>
      <c r="BH13" s="34"/>
    </row>
    <row r="14" spans="1:60">
      <c r="A14" s="7" t="s">
        <v>105</v>
      </c>
      <c r="B14" s="33" t="s">
        <v>285</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34"/>
      <c r="AO14" s="34"/>
      <c r="AP14" s="34"/>
      <c r="AQ14" s="34"/>
      <c r="AR14" s="34"/>
      <c r="AS14" s="34"/>
      <c r="AT14" s="34"/>
      <c r="AU14" s="34"/>
      <c r="AV14" s="34"/>
      <c r="AW14" s="34"/>
      <c r="AX14" s="34"/>
      <c r="AY14" s="34"/>
      <c r="AZ14" s="34"/>
      <c r="BA14" s="34"/>
      <c r="BB14" s="34"/>
      <c r="BC14" s="34"/>
      <c r="BD14" s="34"/>
      <c r="BE14" s="34"/>
      <c r="BF14" s="7"/>
      <c r="BG14" s="7"/>
      <c r="BH14" s="34"/>
    </row>
    <row r="15" spans="1:60">
      <c r="A15" s="7" t="s">
        <v>105</v>
      </c>
      <c r="B15" s="33" t="s">
        <v>279</v>
      </c>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34"/>
      <c r="AO15" s="34"/>
      <c r="AP15" s="34"/>
      <c r="AQ15" s="34"/>
      <c r="AR15" s="34"/>
      <c r="AS15" s="34"/>
      <c r="AT15" s="34"/>
      <c r="AU15" s="34"/>
      <c r="AV15" s="34"/>
      <c r="AW15" s="34"/>
      <c r="AX15" s="34"/>
      <c r="AY15" s="34"/>
      <c r="AZ15" s="34"/>
      <c r="BA15" s="34"/>
      <c r="BB15" s="34"/>
      <c r="BC15" s="34"/>
      <c r="BD15" s="34"/>
      <c r="BE15" s="34"/>
      <c r="BF15" s="7"/>
      <c r="BG15" s="7"/>
      <c r="BH15" s="34"/>
    </row>
    <row r="16" spans="1:60">
      <c r="A16" s="7" t="s">
        <v>105</v>
      </c>
      <c r="B16" s="33" t="s">
        <v>275</v>
      </c>
      <c r="C16" s="33"/>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34"/>
      <c r="AO16" s="34"/>
      <c r="AP16" s="34"/>
      <c r="AQ16" s="34"/>
      <c r="AR16" s="34"/>
      <c r="AS16" s="34"/>
      <c r="AT16" s="34"/>
      <c r="AU16" s="34"/>
      <c r="AV16" s="34"/>
      <c r="AW16" s="34"/>
      <c r="AX16" s="34"/>
      <c r="AY16" s="34"/>
      <c r="AZ16" s="34"/>
      <c r="BA16" s="34"/>
      <c r="BB16" s="34"/>
      <c r="BC16" s="34"/>
      <c r="BD16" s="34"/>
      <c r="BE16" s="34"/>
      <c r="BF16" s="7"/>
      <c r="BG16" s="7"/>
      <c r="BH16" s="34"/>
    </row>
    <row r="17" spans="1:60">
      <c r="A17" s="7" t="s">
        <v>105</v>
      </c>
      <c r="B17" s="33" t="s">
        <v>278</v>
      </c>
      <c r="C17" s="33"/>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34"/>
      <c r="AO17" s="34"/>
      <c r="AP17" s="34"/>
      <c r="AQ17" s="34"/>
      <c r="AR17" s="34"/>
      <c r="AS17" s="34"/>
      <c r="AT17" s="34"/>
      <c r="AU17" s="34"/>
      <c r="AV17" s="34"/>
      <c r="AW17" s="34"/>
      <c r="AX17" s="34"/>
      <c r="AY17" s="34"/>
      <c r="AZ17" s="34"/>
      <c r="BA17" s="34"/>
      <c r="BB17" s="34"/>
      <c r="BC17" s="34"/>
      <c r="BD17" s="34"/>
      <c r="BE17" s="34"/>
      <c r="BF17" s="7"/>
      <c r="BG17" s="7"/>
      <c r="BH17" s="34"/>
    </row>
    <row r="18" spans="1:60">
      <c r="A18" s="7" t="s">
        <v>105</v>
      </c>
      <c r="B18" s="33" t="s">
        <v>282</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34"/>
      <c r="AO18" s="34"/>
      <c r="AP18" s="34"/>
      <c r="AQ18" s="34"/>
      <c r="AR18" s="34"/>
      <c r="AS18" s="34"/>
      <c r="AT18" s="34"/>
      <c r="AU18" s="34"/>
      <c r="AV18" s="34"/>
      <c r="AW18" s="34"/>
      <c r="AX18" s="34"/>
      <c r="AY18" s="34"/>
      <c r="AZ18" s="34"/>
      <c r="BA18" s="34"/>
      <c r="BB18" s="34"/>
      <c r="BC18" s="34"/>
      <c r="BD18" s="34"/>
      <c r="BE18" s="34"/>
      <c r="BF18" s="7"/>
      <c r="BG18" s="7"/>
      <c r="BH18" s="34"/>
    </row>
    <row r="19" spans="1:60">
      <c r="A19" s="7" t="s">
        <v>105</v>
      </c>
      <c r="B19" s="33" t="s">
        <v>278</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34"/>
      <c r="AO19" s="34"/>
      <c r="AP19" s="34"/>
      <c r="AQ19" s="34"/>
      <c r="AR19" s="34"/>
      <c r="AS19" s="34"/>
      <c r="AT19" s="34"/>
      <c r="AU19" s="34"/>
      <c r="AV19" s="34"/>
      <c r="AW19" s="34"/>
      <c r="AX19" s="34"/>
      <c r="AY19" s="34"/>
      <c r="AZ19" s="34"/>
      <c r="BA19" s="34"/>
      <c r="BB19" s="34"/>
      <c r="BC19" s="34"/>
      <c r="BD19" s="34"/>
      <c r="BE19" s="34"/>
      <c r="BF19" s="7"/>
      <c r="BG19" s="7"/>
      <c r="BH19" s="34"/>
    </row>
    <row r="20" spans="1:60">
      <c r="A20" s="7" t="s">
        <v>105</v>
      </c>
      <c r="B20" s="33" t="s">
        <v>288</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34"/>
      <c r="AO20" s="34"/>
      <c r="AP20" s="34"/>
      <c r="AQ20" s="34"/>
      <c r="AR20" s="34"/>
      <c r="AS20" s="34"/>
      <c r="AT20" s="34"/>
      <c r="AU20" s="34"/>
      <c r="AV20" s="34"/>
      <c r="AW20" s="34"/>
      <c r="AX20" s="34"/>
      <c r="AY20" s="34"/>
      <c r="AZ20" s="34"/>
      <c r="BA20" s="34"/>
      <c r="BB20" s="34"/>
      <c r="BC20" s="34"/>
      <c r="BD20" s="34"/>
      <c r="BE20" s="34"/>
      <c r="BF20" s="7"/>
      <c r="BG20" s="7"/>
      <c r="BH20" s="34"/>
    </row>
    <row r="21" spans="1:60">
      <c r="A21" s="7" t="s">
        <v>105</v>
      </c>
      <c r="B21" s="33" t="s">
        <v>289</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34"/>
      <c r="AO21" s="34"/>
      <c r="AP21" s="34"/>
      <c r="AQ21" s="34"/>
      <c r="AR21" s="34"/>
      <c r="AS21" s="34"/>
      <c r="AT21" s="34"/>
      <c r="AU21" s="34"/>
      <c r="AV21" s="34"/>
      <c r="AW21" s="34"/>
      <c r="AX21" s="34"/>
      <c r="AY21" s="34"/>
      <c r="AZ21" s="34"/>
      <c r="BA21" s="34"/>
      <c r="BB21" s="34"/>
      <c r="BC21" s="34"/>
      <c r="BD21" s="34"/>
      <c r="BE21" s="34"/>
      <c r="BF21" s="7"/>
      <c r="BG21" s="7"/>
      <c r="BH21" s="34"/>
    </row>
    <row r="22" spans="1:60">
      <c r="A22" s="7" t="s">
        <v>105</v>
      </c>
      <c r="B22" s="33" t="s">
        <v>276</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34"/>
      <c r="AO22" s="34"/>
      <c r="AP22" s="34"/>
      <c r="AQ22" s="34"/>
      <c r="AR22" s="34"/>
      <c r="AS22" s="34"/>
      <c r="AT22" s="34"/>
      <c r="AU22" s="34"/>
      <c r="AV22" s="34"/>
      <c r="AW22" s="34"/>
      <c r="AX22" s="34"/>
      <c r="AY22" s="34"/>
      <c r="AZ22" s="34"/>
      <c r="BA22" s="34"/>
      <c r="BB22" s="34"/>
      <c r="BC22" s="34"/>
      <c r="BD22" s="34"/>
      <c r="BE22" s="34"/>
      <c r="BF22" s="7"/>
      <c r="BG22" s="7"/>
      <c r="BH22" s="34"/>
    </row>
    <row r="23" spans="1:60">
      <c r="A23" s="7"/>
      <c r="B23" s="51">
        <v>0</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row>
    <row r="24" spans="1:60" s="140" customFormat="1">
      <c r="A24" s="138" t="s">
        <v>111</v>
      </c>
      <c r="B24" s="138" t="s">
        <v>112</v>
      </c>
      <c r="C24" s="138">
        <v>500</v>
      </c>
      <c r="D24" s="138">
        <v>210</v>
      </c>
      <c r="E24" s="138">
        <v>500</v>
      </c>
      <c r="F24" s="138">
        <v>15</v>
      </c>
      <c r="G24" s="138">
        <v>0</v>
      </c>
      <c r="H24" s="138">
        <v>37.5</v>
      </c>
      <c r="I24" s="138">
        <v>0</v>
      </c>
      <c r="J24" s="139">
        <f>402*2.54/1000</f>
        <v>1.02108</v>
      </c>
      <c r="K24" s="138">
        <v>402</v>
      </c>
      <c r="L24" s="138">
        <v>391</v>
      </c>
      <c r="M24" s="138">
        <v>620</v>
      </c>
      <c r="N24" s="138">
        <v>100</v>
      </c>
      <c r="O24" s="138">
        <v>11.25</v>
      </c>
      <c r="P24" s="138">
        <v>310</v>
      </c>
      <c r="Q24" s="138">
        <v>0</v>
      </c>
      <c r="R24" s="138">
        <v>0</v>
      </c>
      <c r="S24" s="138">
        <v>0.16</v>
      </c>
      <c r="T24" s="138">
        <v>0</v>
      </c>
      <c r="U24" s="138">
        <v>0</v>
      </c>
      <c r="V24" s="138">
        <v>0</v>
      </c>
      <c r="W24" s="138">
        <v>0</v>
      </c>
      <c r="X24" s="138">
        <v>0</v>
      </c>
      <c r="Y24" s="138">
        <v>0</v>
      </c>
      <c r="Z24" s="138">
        <v>0</v>
      </c>
      <c r="AA24" s="138">
        <v>0</v>
      </c>
      <c r="AB24" s="138">
        <v>0</v>
      </c>
      <c r="AC24" s="138">
        <v>0</v>
      </c>
      <c r="AD24" s="138">
        <v>0</v>
      </c>
      <c r="AE24" s="138">
        <v>0.75</v>
      </c>
      <c r="AF24" s="138">
        <v>0</v>
      </c>
      <c r="AG24" s="138">
        <v>0</v>
      </c>
      <c r="AH24" s="138">
        <v>0</v>
      </c>
      <c r="AI24" s="138">
        <v>0</v>
      </c>
      <c r="AJ24" s="138">
        <v>0</v>
      </c>
      <c r="AK24" s="138">
        <v>0</v>
      </c>
      <c r="AL24" s="138">
        <v>0</v>
      </c>
      <c r="AM24" s="138">
        <v>0</v>
      </c>
      <c r="AN24" s="138">
        <v>1200</v>
      </c>
      <c r="AO24" s="138">
        <v>2100</v>
      </c>
      <c r="AP24" s="138">
        <v>1200</v>
      </c>
      <c r="AQ24" s="138">
        <v>1573</v>
      </c>
      <c r="AR24" s="138">
        <v>585</v>
      </c>
      <c r="AS24" s="138">
        <v>150</v>
      </c>
      <c r="AT24" s="138">
        <v>1050</v>
      </c>
      <c r="AU24" s="138">
        <v>75</v>
      </c>
      <c r="AV24" s="138">
        <v>855</v>
      </c>
      <c r="AW24" s="138">
        <v>300</v>
      </c>
      <c r="AX24" s="138">
        <v>750</v>
      </c>
      <c r="AY24" s="138">
        <v>1575</v>
      </c>
      <c r="AZ24" s="138">
        <v>1200</v>
      </c>
      <c r="BA24" s="138">
        <v>150</v>
      </c>
      <c r="BB24" s="138">
        <v>150</v>
      </c>
      <c r="BC24" s="138">
        <v>885</v>
      </c>
      <c r="BD24" s="138">
        <v>750</v>
      </c>
      <c r="BE24" s="138">
        <v>450</v>
      </c>
      <c r="BF24" s="138">
        <v>0</v>
      </c>
      <c r="BG24" s="138">
        <v>0</v>
      </c>
      <c r="BH24" s="138">
        <v>0</v>
      </c>
    </row>
    <row r="25" spans="1:60" s="140" customFormat="1">
      <c r="A25" s="138" t="s">
        <v>111</v>
      </c>
      <c r="B25" s="138" t="s">
        <v>306</v>
      </c>
      <c r="C25" s="138">
        <v>1000</v>
      </c>
      <c r="D25" s="138">
        <v>420</v>
      </c>
      <c r="E25" s="138">
        <v>1000</v>
      </c>
      <c r="F25" s="138">
        <v>30</v>
      </c>
      <c r="G25" s="138">
        <v>0</v>
      </c>
      <c r="H25" s="138">
        <v>75</v>
      </c>
      <c r="I25" s="138">
        <v>0</v>
      </c>
      <c r="J25" s="138">
        <f>(402*2.54/1000)*2</f>
        <v>2.04216</v>
      </c>
      <c r="K25" s="138">
        <v>804</v>
      </c>
      <c r="L25" s="138">
        <v>782</v>
      </c>
      <c r="M25" s="138">
        <v>1240</v>
      </c>
      <c r="N25" s="138">
        <v>200</v>
      </c>
      <c r="O25" s="138">
        <v>22.5</v>
      </c>
      <c r="P25" s="138">
        <v>620</v>
      </c>
      <c r="Q25" s="138">
        <v>0</v>
      </c>
      <c r="R25" s="138">
        <v>0</v>
      </c>
      <c r="S25" s="138">
        <v>0.32</v>
      </c>
      <c r="T25" s="138">
        <v>0</v>
      </c>
      <c r="U25" s="138">
        <v>0</v>
      </c>
      <c r="V25" s="138">
        <v>0</v>
      </c>
      <c r="W25" s="138">
        <v>0</v>
      </c>
      <c r="X25" s="138">
        <v>0</v>
      </c>
      <c r="Y25" s="138">
        <v>0</v>
      </c>
      <c r="Z25" s="138">
        <v>0</v>
      </c>
      <c r="AA25" s="138">
        <v>0</v>
      </c>
      <c r="AB25" s="138">
        <v>0</v>
      </c>
      <c r="AC25" s="138">
        <v>0</v>
      </c>
      <c r="AD25" s="138">
        <v>0</v>
      </c>
      <c r="AE25" s="138">
        <v>1.5</v>
      </c>
      <c r="AF25" s="138">
        <v>0</v>
      </c>
      <c r="AG25" s="138">
        <v>0</v>
      </c>
      <c r="AH25" s="138">
        <v>0</v>
      </c>
      <c r="AI25" s="138">
        <v>0</v>
      </c>
      <c r="AJ25" s="138">
        <v>0</v>
      </c>
      <c r="AK25" s="138">
        <v>0</v>
      </c>
      <c r="AL25" s="138">
        <v>0</v>
      </c>
      <c r="AM25" s="138">
        <v>0</v>
      </c>
      <c r="AN25" s="138">
        <v>2400</v>
      </c>
      <c r="AO25" s="138">
        <v>4200</v>
      </c>
      <c r="AP25" s="138">
        <v>2400</v>
      </c>
      <c r="AQ25" s="138">
        <v>3146</v>
      </c>
      <c r="AR25" s="138">
        <v>1170</v>
      </c>
      <c r="AS25" s="138">
        <v>300</v>
      </c>
      <c r="AT25" s="138">
        <v>2100</v>
      </c>
      <c r="AU25" s="138">
        <v>150</v>
      </c>
      <c r="AV25" s="138">
        <v>1710</v>
      </c>
      <c r="AW25" s="138">
        <v>600</v>
      </c>
      <c r="AX25" s="138">
        <v>1500</v>
      </c>
      <c r="AY25" s="138">
        <v>3150</v>
      </c>
      <c r="AZ25" s="138">
        <v>2400</v>
      </c>
      <c r="BA25" s="138">
        <v>300</v>
      </c>
      <c r="BB25" s="138">
        <v>300</v>
      </c>
      <c r="BC25" s="138">
        <v>1770</v>
      </c>
      <c r="BD25" s="138">
        <v>1500</v>
      </c>
      <c r="BE25" s="138">
        <v>900</v>
      </c>
      <c r="BF25" s="138">
        <v>0</v>
      </c>
      <c r="BG25" s="138">
        <v>0</v>
      </c>
      <c r="BH25" s="138">
        <v>0</v>
      </c>
    </row>
    <row r="26" spans="1:60" s="140" customFormat="1">
      <c r="A26" s="138" t="s">
        <v>111</v>
      </c>
      <c r="B26" s="138" t="s">
        <v>215</v>
      </c>
      <c r="C26" s="138">
        <v>1000</v>
      </c>
      <c r="D26" s="138">
        <v>763</v>
      </c>
      <c r="E26" s="138">
        <v>1000</v>
      </c>
      <c r="F26" s="138">
        <v>30</v>
      </c>
      <c r="G26" s="138">
        <v>34</v>
      </c>
      <c r="H26" s="138">
        <v>79.5</v>
      </c>
      <c r="I26" s="138">
        <v>0</v>
      </c>
      <c r="J26" s="139">
        <f>310*2.54/1000</f>
        <v>0.78739999999999999</v>
      </c>
      <c r="K26" s="138">
        <v>310</v>
      </c>
      <c r="L26" s="138">
        <v>293</v>
      </c>
      <c r="M26" s="138">
        <v>627</v>
      </c>
      <c r="N26" s="138">
        <v>0</v>
      </c>
      <c r="O26" s="138">
        <v>18</v>
      </c>
      <c r="P26" s="138">
        <v>84</v>
      </c>
      <c r="Q26" s="138">
        <v>0</v>
      </c>
      <c r="R26" s="138">
        <v>0</v>
      </c>
      <c r="S26" s="138">
        <v>0</v>
      </c>
      <c r="T26" s="138">
        <v>0</v>
      </c>
      <c r="U26" s="138">
        <v>0</v>
      </c>
      <c r="V26" s="138">
        <v>0</v>
      </c>
      <c r="W26" s="138">
        <v>0</v>
      </c>
      <c r="X26" s="138">
        <v>0</v>
      </c>
      <c r="Y26" s="138">
        <v>0</v>
      </c>
      <c r="Z26" s="138">
        <v>0</v>
      </c>
      <c r="AA26" s="138">
        <v>0</v>
      </c>
      <c r="AB26" s="138">
        <v>0</v>
      </c>
      <c r="AC26" s="138">
        <v>0</v>
      </c>
      <c r="AD26" s="138">
        <v>0</v>
      </c>
      <c r="AE26" s="138">
        <v>0</v>
      </c>
      <c r="AF26" s="138">
        <v>0</v>
      </c>
      <c r="AG26" s="138">
        <v>0</v>
      </c>
      <c r="AH26" s="138">
        <v>0</v>
      </c>
      <c r="AI26" s="138">
        <v>0</v>
      </c>
      <c r="AJ26" s="138">
        <v>0</v>
      </c>
      <c r="AK26" s="138">
        <v>0</v>
      </c>
      <c r="AL26" s="138">
        <v>0</v>
      </c>
      <c r="AM26" s="138">
        <v>0</v>
      </c>
      <c r="AN26" s="138">
        <f>510*3</f>
        <v>1530</v>
      </c>
      <c r="AO26" s="138">
        <f>890*3</f>
        <v>2670</v>
      </c>
      <c r="AP26" s="138">
        <f>480*3</f>
        <v>1440</v>
      </c>
      <c r="AQ26" s="138">
        <f>700*3</f>
        <v>2100</v>
      </c>
      <c r="AR26" s="138">
        <f>510*3</f>
        <v>1530</v>
      </c>
      <c r="AS26" s="138">
        <f>73*3</f>
        <v>219</v>
      </c>
      <c r="AT26" s="138">
        <f>510*3</f>
        <v>1530</v>
      </c>
      <c r="AU26" s="138">
        <f>30*3</f>
        <v>90</v>
      </c>
      <c r="AV26" s="138">
        <f>410*3</f>
        <v>1230</v>
      </c>
      <c r="AW26" s="138">
        <f>180*3</f>
        <v>540</v>
      </c>
      <c r="AX26" s="138">
        <f>520*3</f>
        <v>1560</v>
      </c>
      <c r="AY26" s="138">
        <f>920*3</f>
        <v>2760</v>
      </c>
      <c r="AZ26" s="138">
        <f>1370*3</f>
        <v>4110</v>
      </c>
      <c r="BA26" s="138">
        <f>130*3</f>
        <v>390</v>
      </c>
      <c r="BB26" s="138">
        <f>460*3</f>
        <v>1380</v>
      </c>
      <c r="BC26" s="138">
        <f>790*3</f>
        <v>2370</v>
      </c>
      <c r="BD26" s="138">
        <f>890*3</f>
        <v>2670</v>
      </c>
      <c r="BE26" s="138">
        <f>240*3</f>
        <v>720</v>
      </c>
      <c r="BF26" s="138">
        <v>0</v>
      </c>
      <c r="BG26" s="138">
        <f>320*3</f>
        <v>960</v>
      </c>
      <c r="BH26" s="138">
        <v>0</v>
      </c>
    </row>
    <row r="27" spans="1:60" s="140" customFormat="1">
      <c r="A27" s="138" t="s">
        <v>111</v>
      </c>
      <c r="B27" s="138" t="s">
        <v>319</v>
      </c>
      <c r="C27" s="138">
        <v>500</v>
      </c>
      <c r="D27" s="138">
        <v>160</v>
      </c>
      <c r="E27" s="138">
        <v>500</v>
      </c>
      <c r="F27" s="138">
        <v>40</v>
      </c>
      <c r="G27" s="138">
        <v>0</v>
      </c>
      <c r="H27" s="138">
        <v>0</v>
      </c>
      <c r="I27" s="138">
        <v>0</v>
      </c>
      <c r="J27" s="139">
        <f>161*2.54/1000</f>
        <v>0.40893999999999997</v>
      </c>
      <c r="K27" s="138">
        <v>161</v>
      </c>
      <c r="L27" s="138">
        <v>0</v>
      </c>
      <c r="M27" s="138">
        <v>1666</v>
      </c>
      <c r="N27" s="138">
        <v>0</v>
      </c>
      <c r="O27" s="138">
        <v>0</v>
      </c>
      <c r="P27" s="138">
        <v>0</v>
      </c>
      <c r="Q27" s="138">
        <v>0</v>
      </c>
      <c r="R27" s="138">
        <v>0</v>
      </c>
      <c r="S27" s="138">
        <v>0</v>
      </c>
      <c r="T27" s="138">
        <v>0</v>
      </c>
      <c r="U27" s="138">
        <v>0</v>
      </c>
      <c r="V27" s="138">
        <v>0</v>
      </c>
      <c r="W27" s="138">
        <v>0</v>
      </c>
      <c r="X27" s="138">
        <v>0</v>
      </c>
      <c r="Y27" s="138">
        <v>0</v>
      </c>
      <c r="Z27" s="138">
        <v>0</v>
      </c>
      <c r="AA27" s="138">
        <v>0</v>
      </c>
      <c r="AB27" s="138">
        <v>0</v>
      </c>
      <c r="AC27" s="138">
        <v>0</v>
      </c>
      <c r="AD27" s="138">
        <v>0</v>
      </c>
      <c r="AE27" s="138">
        <v>0</v>
      </c>
      <c r="AF27" s="138">
        <v>0</v>
      </c>
      <c r="AG27" s="138">
        <v>0</v>
      </c>
      <c r="AH27" s="138">
        <v>0</v>
      </c>
      <c r="AI27" s="138">
        <v>0</v>
      </c>
      <c r="AJ27" s="138">
        <v>0</v>
      </c>
      <c r="AK27" s="138">
        <v>0</v>
      </c>
      <c r="AL27" s="138">
        <v>0</v>
      </c>
      <c r="AM27" s="138">
        <v>0</v>
      </c>
      <c r="AN27" s="138">
        <v>4500</v>
      </c>
      <c r="AO27" s="138">
        <v>5500</v>
      </c>
      <c r="AP27" s="138">
        <v>4200</v>
      </c>
      <c r="AQ27" s="138">
        <v>3040</v>
      </c>
      <c r="AR27" s="138">
        <v>500</v>
      </c>
      <c r="AS27" s="138">
        <v>200</v>
      </c>
      <c r="AT27" s="138">
        <v>500</v>
      </c>
      <c r="AU27" s="138">
        <v>0</v>
      </c>
      <c r="AV27" s="138">
        <v>2250</v>
      </c>
      <c r="AW27" s="138">
        <v>350</v>
      </c>
      <c r="AX27" s="138">
        <v>1180</v>
      </c>
      <c r="AY27" s="138">
        <v>3020</v>
      </c>
      <c r="AZ27" s="138">
        <v>3750</v>
      </c>
      <c r="BA27" s="138">
        <v>0</v>
      </c>
      <c r="BB27" s="138">
        <v>0</v>
      </c>
      <c r="BC27" s="138">
        <v>4500</v>
      </c>
      <c r="BD27" s="138">
        <v>4000</v>
      </c>
      <c r="BE27" s="138">
        <v>2500</v>
      </c>
      <c r="BF27" s="138">
        <v>0</v>
      </c>
      <c r="BG27" s="138">
        <v>0</v>
      </c>
      <c r="BH27" s="138">
        <v>0</v>
      </c>
    </row>
    <row r="28" spans="1:60" s="140" customFormat="1">
      <c r="A28" s="138" t="s">
        <v>111</v>
      </c>
      <c r="B28" s="138" t="s">
        <v>320</v>
      </c>
      <c r="C28" s="138">
        <v>500</v>
      </c>
      <c r="D28" s="138"/>
      <c r="E28" s="138"/>
      <c r="F28" s="138"/>
      <c r="G28" s="138"/>
      <c r="H28" s="138"/>
      <c r="I28" s="138"/>
      <c r="J28" s="139"/>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row>
    <row r="29" spans="1:60">
      <c r="A29" s="7" t="s">
        <v>111</v>
      </c>
      <c r="B29" s="7" t="s">
        <v>216</v>
      </c>
      <c r="C29" s="7">
        <v>1448</v>
      </c>
      <c r="D29" s="7">
        <v>1000</v>
      </c>
      <c r="E29" s="7">
        <v>1448</v>
      </c>
      <c r="F29" s="10">
        <f>3.2*14.48</f>
        <v>46.336000000000006</v>
      </c>
      <c r="G29" s="7">
        <v>41</v>
      </c>
      <c r="H29" s="7">
        <v>103</v>
      </c>
      <c r="I29" s="7">
        <v>0</v>
      </c>
      <c r="J29" s="12">
        <f>828*2.54/1000</f>
        <v>2.1031200000000001</v>
      </c>
      <c r="K29" s="7">
        <v>828</v>
      </c>
      <c r="L29" s="7">
        <v>1095</v>
      </c>
      <c r="M29" s="7">
        <v>1134</v>
      </c>
      <c r="N29" s="7">
        <v>180</v>
      </c>
      <c r="O29" s="7">
        <v>111.8</v>
      </c>
      <c r="P29" s="7">
        <v>0</v>
      </c>
      <c r="Q29" s="7">
        <v>5765</v>
      </c>
      <c r="R29" s="7">
        <v>0</v>
      </c>
      <c r="S29" s="7">
        <v>1.962</v>
      </c>
      <c r="T29" s="7">
        <v>0</v>
      </c>
      <c r="U29" s="7">
        <v>0</v>
      </c>
      <c r="V29" s="7">
        <v>0</v>
      </c>
      <c r="W29" s="7">
        <v>0</v>
      </c>
      <c r="X29" s="7">
        <v>0</v>
      </c>
      <c r="Y29" s="7">
        <v>0</v>
      </c>
      <c r="Z29" s="7">
        <v>0</v>
      </c>
      <c r="AA29" s="7">
        <v>0</v>
      </c>
      <c r="AB29" s="7">
        <v>0</v>
      </c>
      <c r="AC29" s="7">
        <v>0</v>
      </c>
      <c r="AD29" s="7">
        <v>0</v>
      </c>
      <c r="AE29" s="7">
        <v>0</v>
      </c>
      <c r="AF29" s="7">
        <v>0</v>
      </c>
      <c r="AG29" s="7">
        <v>0</v>
      </c>
      <c r="AH29" s="7">
        <v>0</v>
      </c>
      <c r="AI29" s="7">
        <v>0</v>
      </c>
      <c r="AJ29" s="7">
        <v>0</v>
      </c>
      <c r="AK29" s="7">
        <v>0</v>
      </c>
      <c r="AL29" s="7">
        <v>0</v>
      </c>
      <c r="AM29" s="7">
        <v>0</v>
      </c>
      <c r="AN29" s="10">
        <v>2316.7999999999997</v>
      </c>
      <c r="AO29" s="10">
        <v>3330.4</v>
      </c>
      <c r="AP29" s="10">
        <v>2896</v>
      </c>
      <c r="AQ29" s="10">
        <v>3040.7999999999997</v>
      </c>
      <c r="AR29" s="10">
        <v>1882.3999999999999</v>
      </c>
      <c r="AS29" s="10">
        <v>0</v>
      </c>
      <c r="AT29" s="10">
        <v>2316.7999999999997</v>
      </c>
      <c r="AU29" s="10">
        <v>173.76</v>
      </c>
      <c r="AV29" s="10">
        <v>2027.2</v>
      </c>
      <c r="AW29" s="10">
        <v>912.24</v>
      </c>
      <c r="AX29" s="10">
        <v>1346.6399999999999</v>
      </c>
      <c r="AY29" s="10">
        <v>5502.4</v>
      </c>
      <c r="AZ29" s="10">
        <v>6371.2</v>
      </c>
      <c r="BA29" s="10">
        <v>0</v>
      </c>
      <c r="BB29" s="10">
        <v>0</v>
      </c>
      <c r="BC29" s="10">
        <v>5068</v>
      </c>
      <c r="BD29" s="10">
        <v>5068</v>
      </c>
      <c r="BE29" s="10">
        <v>3040.7999999999997</v>
      </c>
      <c r="BF29" s="10">
        <v>463.36</v>
      </c>
      <c r="BG29" s="10">
        <v>0</v>
      </c>
      <c r="BH29" s="10">
        <v>0</v>
      </c>
    </row>
    <row r="30" spans="1:60">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row>
    <row r="31" spans="1:60">
      <c r="A31" s="7" t="s">
        <v>117</v>
      </c>
      <c r="B31" s="7" t="s">
        <v>212</v>
      </c>
      <c r="C31" s="7">
        <v>1000</v>
      </c>
      <c r="D31" s="7">
        <v>0</v>
      </c>
      <c r="E31" s="7">
        <v>1000</v>
      </c>
      <c r="F31" s="7">
        <v>0</v>
      </c>
      <c r="G31" s="7">
        <v>0</v>
      </c>
      <c r="H31" s="7">
        <v>0</v>
      </c>
      <c r="I31" s="7">
        <v>0</v>
      </c>
      <c r="J31" s="7">
        <v>9</v>
      </c>
      <c r="K31" s="10">
        <f>L59</f>
        <v>3540.4599999999996</v>
      </c>
      <c r="L31" s="10">
        <f>L60</f>
        <v>0</v>
      </c>
      <c r="M31" s="10">
        <f>L61</f>
        <v>5459.3</v>
      </c>
      <c r="N31" s="10">
        <f>L62</f>
        <v>0</v>
      </c>
      <c r="O31" s="7">
        <v>0</v>
      </c>
      <c r="P31" s="7">
        <v>0</v>
      </c>
      <c r="Q31" s="7">
        <v>0</v>
      </c>
      <c r="R31" s="7">
        <v>0</v>
      </c>
      <c r="S31" s="7">
        <v>0</v>
      </c>
      <c r="T31" s="7">
        <v>0</v>
      </c>
      <c r="U31" s="7">
        <v>0</v>
      </c>
      <c r="V31" s="7">
        <v>0</v>
      </c>
      <c r="W31" s="7">
        <v>0</v>
      </c>
      <c r="X31" s="7">
        <v>0</v>
      </c>
      <c r="Y31" s="7">
        <v>0</v>
      </c>
      <c r="Z31" s="7">
        <v>0</v>
      </c>
      <c r="AA31" s="7">
        <v>0</v>
      </c>
      <c r="AB31" s="7">
        <v>0</v>
      </c>
      <c r="AC31" s="7">
        <v>0</v>
      </c>
      <c r="AD31" s="7">
        <v>0</v>
      </c>
      <c r="AE31" s="7">
        <v>0</v>
      </c>
      <c r="AF31" s="7">
        <v>0</v>
      </c>
      <c r="AG31" s="7">
        <v>0</v>
      </c>
      <c r="AH31" s="7">
        <v>0</v>
      </c>
      <c r="AI31" s="7">
        <v>0</v>
      </c>
      <c r="AJ31" s="7">
        <v>0</v>
      </c>
      <c r="AK31" s="7">
        <v>0</v>
      </c>
      <c r="AL31" s="7">
        <v>0</v>
      </c>
      <c r="AM31" s="7">
        <v>0</v>
      </c>
      <c r="AN31" s="7">
        <v>0</v>
      </c>
      <c r="AO31" s="7">
        <v>0</v>
      </c>
      <c r="AP31" s="7">
        <v>0</v>
      </c>
      <c r="AQ31" s="7">
        <v>0</v>
      </c>
      <c r="AR31" s="7">
        <v>0</v>
      </c>
      <c r="AS31" s="7">
        <v>0</v>
      </c>
      <c r="AT31" s="7">
        <v>0</v>
      </c>
      <c r="AU31" s="7">
        <v>0</v>
      </c>
      <c r="AV31" s="7">
        <v>0</v>
      </c>
      <c r="AW31" s="7">
        <v>0</v>
      </c>
      <c r="AX31" s="7">
        <v>0</v>
      </c>
      <c r="AY31" s="7">
        <v>0</v>
      </c>
      <c r="AZ31" s="7">
        <v>0</v>
      </c>
      <c r="BA31" s="7">
        <v>0</v>
      </c>
      <c r="BB31" s="7">
        <v>0</v>
      </c>
      <c r="BC31" s="7">
        <v>0</v>
      </c>
      <c r="BD31" s="7">
        <v>0</v>
      </c>
      <c r="BE31" s="7">
        <v>0</v>
      </c>
      <c r="BF31" s="7">
        <v>0</v>
      </c>
      <c r="BG31" s="7">
        <v>0</v>
      </c>
      <c r="BH31" s="7">
        <v>0</v>
      </c>
    </row>
    <row r="32" spans="1:60">
      <c r="A32" s="7" t="s">
        <v>117</v>
      </c>
      <c r="B32" s="7" t="s">
        <v>218</v>
      </c>
      <c r="C32" s="7">
        <v>1000</v>
      </c>
      <c r="D32" s="7">
        <v>0</v>
      </c>
      <c r="E32" s="7">
        <v>1000</v>
      </c>
      <c r="F32" s="7">
        <v>0</v>
      </c>
      <c r="G32" s="7">
        <v>0</v>
      </c>
      <c r="H32" s="7">
        <v>0</v>
      </c>
      <c r="I32" s="7">
        <v>0</v>
      </c>
      <c r="J32" s="12">
        <f>2898*2.54/1000</f>
        <v>7.3609200000000001</v>
      </c>
      <c r="K32" s="7">
        <v>2989</v>
      </c>
      <c r="L32" s="7">
        <v>156</v>
      </c>
      <c r="M32" s="7">
        <v>3864</v>
      </c>
      <c r="N32" s="7">
        <v>60</v>
      </c>
      <c r="O32" s="7">
        <v>0</v>
      </c>
      <c r="P32" s="7">
        <v>867</v>
      </c>
      <c r="Q32" s="7">
        <v>0</v>
      </c>
      <c r="R32" s="7">
        <v>0</v>
      </c>
      <c r="S32" s="7">
        <v>0</v>
      </c>
      <c r="T32" s="7">
        <v>0</v>
      </c>
      <c r="U32" s="7">
        <v>0</v>
      </c>
      <c r="V32" s="7">
        <v>0</v>
      </c>
      <c r="W32" s="7">
        <v>0</v>
      </c>
      <c r="X32" s="7">
        <v>0</v>
      </c>
      <c r="Y32" s="7">
        <v>0</v>
      </c>
      <c r="Z32" s="7">
        <v>0</v>
      </c>
      <c r="AA32" s="7">
        <v>0</v>
      </c>
      <c r="AB32" s="7">
        <v>0</v>
      </c>
      <c r="AC32" s="7">
        <v>0</v>
      </c>
      <c r="AD32" s="7">
        <v>0</v>
      </c>
      <c r="AE32" s="7">
        <v>0</v>
      </c>
      <c r="AF32" s="7">
        <v>0</v>
      </c>
      <c r="AG32" s="7">
        <v>0</v>
      </c>
      <c r="AH32" s="7">
        <v>0</v>
      </c>
      <c r="AI32" s="7">
        <v>0</v>
      </c>
      <c r="AJ32" s="7">
        <v>0</v>
      </c>
      <c r="AK32" s="7">
        <v>0</v>
      </c>
      <c r="AL32" s="7">
        <v>0</v>
      </c>
      <c r="AM32" s="7">
        <v>0</v>
      </c>
      <c r="AN32" s="7">
        <v>0</v>
      </c>
      <c r="AO32" s="7">
        <v>0</v>
      </c>
      <c r="AP32" s="7">
        <v>0</v>
      </c>
      <c r="AQ32" s="7">
        <v>0</v>
      </c>
      <c r="AR32" s="7">
        <v>0</v>
      </c>
      <c r="AS32" s="7">
        <v>0</v>
      </c>
      <c r="AT32" s="7">
        <v>0</v>
      </c>
      <c r="AU32" s="7">
        <v>0</v>
      </c>
      <c r="AV32" s="7">
        <v>0</v>
      </c>
      <c r="AW32" s="7">
        <v>0</v>
      </c>
      <c r="AX32" s="7">
        <v>0</v>
      </c>
      <c r="AY32" s="7">
        <v>0</v>
      </c>
      <c r="AZ32" s="7">
        <v>0</v>
      </c>
      <c r="BA32" s="7">
        <v>0</v>
      </c>
      <c r="BB32" s="7">
        <v>0</v>
      </c>
      <c r="BC32" s="7">
        <v>0</v>
      </c>
      <c r="BD32" s="7">
        <v>0</v>
      </c>
      <c r="BE32" s="7">
        <v>0</v>
      </c>
      <c r="BF32" s="7">
        <v>0</v>
      </c>
      <c r="BG32" s="7">
        <v>0</v>
      </c>
      <c r="BH32" s="7">
        <v>0</v>
      </c>
    </row>
    <row r="34" spans="1:60">
      <c r="A34" s="7" t="s">
        <v>290</v>
      </c>
    </row>
    <row r="35" spans="1:60">
      <c r="A35" s="7" t="s">
        <v>290</v>
      </c>
    </row>
    <row r="36" spans="1:60">
      <c r="A36" s="7" t="s">
        <v>290</v>
      </c>
      <c r="B36" s="7" t="s">
        <v>167</v>
      </c>
      <c r="C36" s="7"/>
      <c r="D36" s="7">
        <v>2420</v>
      </c>
      <c r="E36" s="7"/>
      <c r="F36" s="7">
        <v>71</v>
      </c>
      <c r="G36" s="7" t="s">
        <v>169</v>
      </c>
      <c r="H36" s="7" t="s">
        <v>170</v>
      </c>
      <c r="I36" s="7">
        <v>22.5</v>
      </c>
      <c r="J36" s="7"/>
      <c r="K36" s="7">
        <v>500</v>
      </c>
      <c r="L36" s="7">
        <v>2000</v>
      </c>
      <c r="M36" s="7">
        <v>750</v>
      </c>
      <c r="N36" s="7">
        <v>750</v>
      </c>
      <c r="O36" s="7">
        <v>240</v>
      </c>
      <c r="P36" s="7">
        <v>230</v>
      </c>
      <c r="Q36" s="7">
        <v>0</v>
      </c>
      <c r="R36" s="7">
        <v>12</v>
      </c>
      <c r="S36" s="7">
        <v>6.5</v>
      </c>
      <c r="T36" s="7">
        <v>0</v>
      </c>
      <c r="U36" s="7">
        <v>0</v>
      </c>
      <c r="V36" s="7">
        <v>150</v>
      </c>
      <c r="W36" s="7">
        <v>0</v>
      </c>
      <c r="X36" s="7">
        <v>0</v>
      </c>
      <c r="Y36" s="7">
        <v>0</v>
      </c>
      <c r="Z36" s="7">
        <f>2310*0.3</f>
        <v>693</v>
      </c>
      <c r="AA36" s="7">
        <v>0</v>
      </c>
      <c r="AB36" s="7">
        <f>200*0.025</f>
        <v>5</v>
      </c>
      <c r="AC36" s="7">
        <v>10</v>
      </c>
      <c r="AD36" s="7">
        <v>61</v>
      </c>
      <c r="AE36" s="7">
        <v>1.2</v>
      </c>
      <c r="AF36" s="7">
        <v>1.3</v>
      </c>
      <c r="AG36" s="7">
        <v>16</v>
      </c>
      <c r="AH36" s="7">
        <v>1.1000000000000001</v>
      </c>
      <c r="AI36" s="7">
        <v>2.4</v>
      </c>
      <c r="AJ36" s="7">
        <v>240</v>
      </c>
      <c r="AK36" s="7">
        <v>0</v>
      </c>
      <c r="AL36" s="7">
        <v>0</v>
      </c>
      <c r="AM36" s="7">
        <v>70</v>
      </c>
      <c r="AN36" s="7"/>
      <c r="AO36" s="7"/>
      <c r="AP36" s="7"/>
      <c r="AQ36" s="7"/>
      <c r="AR36" s="7"/>
      <c r="AS36" s="7"/>
      <c r="AT36" s="7"/>
      <c r="AU36" s="7"/>
      <c r="AV36" s="7"/>
      <c r="AW36" s="7"/>
      <c r="AX36" s="7"/>
      <c r="AY36" s="7"/>
      <c r="AZ36" s="7"/>
      <c r="BA36" s="7"/>
      <c r="BB36" s="7"/>
      <c r="BC36" s="7"/>
      <c r="BD36" s="7"/>
      <c r="BE36" s="7"/>
      <c r="BF36" s="7"/>
      <c r="BG36" s="7"/>
    </row>
    <row r="37" spans="1:60">
      <c r="A37" s="7" t="s">
        <v>290</v>
      </c>
      <c r="B37" s="7" t="s">
        <v>168</v>
      </c>
      <c r="C37" s="7"/>
      <c r="D37" s="7">
        <v>1870</v>
      </c>
      <c r="E37" s="7"/>
      <c r="F37" s="7">
        <v>62</v>
      </c>
      <c r="G37" s="7" t="s">
        <v>169</v>
      </c>
      <c r="H37" s="7" t="s">
        <v>170</v>
      </c>
      <c r="I37" s="7">
        <v>22.5</v>
      </c>
      <c r="J37" s="7"/>
      <c r="K37" s="7">
        <v>500</v>
      </c>
      <c r="L37" s="7">
        <v>2000</v>
      </c>
      <c r="M37" s="7">
        <v>750</v>
      </c>
      <c r="N37" s="7">
        <v>750</v>
      </c>
      <c r="O37" s="7">
        <v>210</v>
      </c>
      <c r="P37" s="7">
        <v>127.68</v>
      </c>
      <c r="Q37" s="7">
        <v>0</v>
      </c>
      <c r="R37" s="7">
        <v>28</v>
      </c>
      <c r="S37" s="7">
        <v>4.5999999999999996</v>
      </c>
      <c r="T37" s="7">
        <v>0</v>
      </c>
      <c r="U37" s="7">
        <v>0</v>
      </c>
      <c r="V37" s="7">
        <v>150</v>
      </c>
      <c r="W37" s="7">
        <v>0</v>
      </c>
      <c r="X37" s="7">
        <v>0</v>
      </c>
      <c r="Y37" s="7">
        <v>0</v>
      </c>
      <c r="Z37" s="7">
        <f>1980*0.3</f>
        <v>594</v>
      </c>
      <c r="AA37" s="7">
        <v>0</v>
      </c>
      <c r="AB37" s="7">
        <f>200*0.025</f>
        <v>5</v>
      </c>
      <c r="AC37" s="7">
        <v>10</v>
      </c>
      <c r="AD37" s="7">
        <v>53</v>
      </c>
      <c r="AE37" s="7">
        <v>1.1000000000000001</v>
      </c>
      <c r="AF37" s="7">
        <v>1.1000000000000001</v>
      </c>
      <c r="AG37" s="7">
        <v>14</v>
      </c>
      <c r="AH37" s="7">
        <v>1.1000000000000001</v>
      </c>
      <c r="AI37" s="7">
        <v>2.4</v>
      </c>
      <c r="AJ37" s="7">
        <v>240</v>
      </c>
      <c r="AK37" s="7">
        <v>0</v>
      </c>
      <c r="AL37" s="7">
        <v>0</v>
      </c>
      <c r="AM37" s="7">
        <v>60</v>
      </c>
      <c r="AN37" s="7"/>
      <c r="AO37" s="7"/>
      <c r="AP37" s="7"/>
      <c r="AQ37" s="7"/>
      <c r="AR37" s="7"/>
      <c r="AS37" s="7"/>
      <c r="AT37" s="7"/>
      <c r="AU37" s="7"/>
      <c r="AV37" s="7"/>
      <c r="AW37" s="7"/>
      <c r="AX37" s="7"/>
      <c r="AY37" s="7"/>
      <c r="AZ37" s="7"/>
      <c r="BA37" s="7"/>
      <c r="BB37" s="7"/>
      <c r="BC37" s="7"/>
      <c r="BD37" s="7"/>
      <c r="BE37" s="7"/>
      <c r="BF37" s="7"/>
      <c r="BG37" s="7"/>
    </row>
    <row r="40" spans="1:60">
      <c r="D40" s="45">
        <v>3</v>
      </c>
      <c r="E40" s="45">
        <v>4</v>
      </c>
      <c r="F40" s="45">
        <v>5</v>
      </c>
      <c r="G40" s="45">
        <v>6</v>
      </c>
      <c r="H40" s="45">
        <v>7</v>
      </c>
      <c r="I40" s="45">
        <v>8</v>
      </c>
      <c r="J40" s="45">
        <v>9</v>
      </c>
      <c r="K40" s="45">
        <v>10</v>
      </c>
      <c r="L40" s="45">
        <v>11</v>
      </c>
      <c r="M40" s="45">
        <v>12</v>
      </c>
      <c r="N40" s="45">
        <v>13</v>
      </c>
      <c r="O40" s="45">
        <v>14</v>
      </c>
      <c r="P40" s="45">
        <v>15</v>
      </c>
      <c r="Q40" s="45">
        <v>16</v>
      </c>
      <c r="R40" s="45">
        <v>17</v>
      </c>
      <c r="S40" s="45">
        <v>18</v>
      </c>
      <c r="T40" s="45">
        <v>19</v>
      </c>
      <c r="U40" s="45">
        <v>20</v>
      </c>
      <c r="V40" s="45">
        <v>21</v>
      </c>
      <c r="W40" s="45">
        <v>22</v>
      </c>
      <c r="X40" s="45">
        <v>23</v>
      </c>
      <c r="Y40" s="45">
        <v>24</v>
      </c>
      <c r="Z40" s="45">
        <v>25</v>
      </c>
      <c r="AA40" s="45">
        <v>26</v>
      </c>
      <c r="AB40" s="45">
        <v>27</v>
      </c>
      <c r="AC40" s="45">
        <v>28</v>
      </c>
      <c r="AD40" s="45">
        <v>29</v>
      </c>
      <c r="AE40" s="45">
        <v>30</v>
      </c>
      <c r="AF40" s="45">
        <v>31</v>
      </c>
      <c r="AG40" s="45">
        <v>32</v>
      </c>
      <c r="AH40" s="45">
        <v>33</v>
      </c>
      <c r="AI40" s="45">
        <v>34</v>
      </c>
      <c r="AJ40" s="45">
        <v>35</v>
      </c>
      <c r="AK40" s="45">
        <v>36</v>
      </c>
      <c r="AL40" s="45">
        <v>37</v>
      </c>
      <c r="AM40" s="45">
        <v>38</v>
      </c>
      <c r="AN40" s="45">
        <v>39</v>
      </c>
      <c r="AO40" s="45">
        <v>40</v>
      </c>
      <c r="AP40" s="45">
        <v>41</v>
      </c>
      <c r="AQ40" s="45">
        <v>42</v>
      </c>
      <c r="AR40" s="45">
        <v>43</v>
      </c>
      <c r="AS40" s="45">
        <v>44</v>
      </c>
      <c r="AT40" s="45">
        <v>45</v>
      </c>
      <c r="AU40" s="45">
        <v>46</v>
      </c>
      <c r="AV40" s="45">
        <v>47</v>
      </c>
      <c r="AW40" s="45">
        <v>48</v>
      </c>
      <c r="AX40" s="45">
        <v>49</v>
      </c>
      <c r="AY40" s="45">
        <v>50</v>
      </c>
      <c r="AZ40" s="45">
        <v>51</v>
      </c>
      <c r="BA40" s="45">
        <v>52</v>
      </c>
      <c r="BB40" s="45">
        <v>53</v>
      </c>
      <c r="BC40" s="45">
        <v>54</v>
      </c>
      <c r="BD40" s="45">
        <v>55</v>
      </c>
      <c r="BE40" s="45">
        <v>56</v>
      </c>
      <c r="BF40" s="45">
        <v>57</v>
      </c>
      <c r="BG40" s="45">
        <v>58</v>
      </c>
      <c r="BH40" s="45">
        <v>59</v>
      </c>
    </row>
    <row r="41" spans="1:60" ht="37.5" thickBot="1">
      <c r="A41" s="80" t="s">
        <v>115</v>
      </c>
      <c r="B41" s="81" t="s">
        <v>114</v>
      </c>
      <c r="C41" s="82" t="s">
        <v>214</v>
      </c>
      <c r="D41" s="82" t="s">
        <v>56</v>
      </c>
      <c r="E41" s="82" t="s">
        <v>165</v>
      </c>
      <c r="F41" s="82" t="s">
        <v>119</v>
      </c>
      <c r="G41" s="82" t="s">
        <v>57</v>
      </c>
      <c r="H41" s="82" t="s">
        <v>58</v>
      </c>
      <c r="I41" s="82" t="s">
        <v>59</v>
      </c>
      <c r="J41" s="82" t="s">
        <v>256</v>
      </c>
      <c r="K41" s="83" t="s">
        <v>61</v>
      </c>
      <c r="L41" s="83" t="s">
        <v>62</v>
      </c>
      <c r="M41" s="83" t="s">
        <v>124</v>
      </c>
      <c r="N41" s="83" t="s">
        <v>63</v>
      </c>
      <c r="O41" s="83" t="s">
        <v>64</v>
      </c>
      <c r="P41" s="83" t="s">
        <v>65</v>
      </c>
      <c r="Q41" s="83" t="s">
        <v>126</v>
      </c>
      <c r="R41" s="83" t="s">
        <v>66</v>
      </c>
      <c r="S41" s="83" t="s">
        <v>67</v>
      </c>
      <c r="T41" s="84" t="s">
        <v>68</v>
      </c>
      <c r="U41" s="84" t="s">
        <v>69</v>
      </c>
      <c r="V41" s="83" t="s">
        <v>70</v>
      </c>
      <c r="W41" s="83" t="s">
        <v>71</v>
      </c>
      <c r="X41" s="83" t="s">
        <v>72</v>
      </c>
      <c r="Y41" s="83" t="s">
        <v>73</v>
      </c>
      <c r="Z41" s="85" t="s">
        <v>74</v>
      </c>
      <c r="AA41" s="85" t="s">
        <v>166</v>
      </c>
      <c r="AB41" s="85" t="s">
        <v>75</v>
      </c>
      <c r="AC41" s="85" t="s">
        <v>76</v>
      </c>
      <c r="AD41" s="85" t="s">
        <v>77</v>
      </c>
      <c r="AE41" s="86" t="s">
        <v>106</v>
      </c>
      <c r="AF41" s="86" t="s">
        <v>157</v>
      </c>
      <c r="AG41" s="85" t="s">
        <v>78</v>
      </c>
      <c r="AH41" s="86" t="s">
        <v>160</v>
      </c>
      <c r="AI41" s="85" t="s">
        <v>253</v>
      </c>
      <c r="AJ41" s="87" t="s">
        <v>79</v>
      </c>
      <c r="AK41" s="86" t="s">
        <v>80</v>
      </c>
      <c r="AL41" s="85" t="s">
        <v>81</v>
      </c>
      <c r="AM41" s="85" t="s">
        <v>82</v>
      </c>
      <c r="AN41" s="88" t="s">
        <v>85</v>
      </c>
      <c r="AO41" s="88" t="s">
        <v>86</v>
      </c>
      <c r="AP41" s="88" t="s">
        <v>120</v>
      </c>
      <c r="AQ41" s="89" t="s">
        <v>87</v>
      </c>
      <c r="AR41" s="89" t="s">
        <v>89</v>
      </c>
      <c r="AS41" s="89" t="s">
        <v>90</v>
      </c>
      <c r="AT41" s="89" t="s">
        <v>91</v>
      </c>
      <c r="AU41" s="89" t="s">
        <v>92</v>
      </c>
      <c r="AV41" s="89" t="s">
        <v>93</v>
      </c>
      <c r="AW41" s="89" t="s">
        <v>94</v>
      </c>
      <c r="AX41" s="89" t="s">
        <v>95</v>
      </c>
      <c r="AY41" s="89" t="s">
        <v>96</v>
      </c>
      <c r="AZ41" s="89" t="s">
        <v>97</v>
      </c>
      <c r="BA41" s="89" t="s">
        <v>99</v>
      </c>
      <c r="BB41" s="89" t="s">
        <v>101</v>
      </c>
      <c r="BC41" s="89" t="s">
        <v>102</v>
      </c>
      <c r="BD41" s="89" t="s">
        <v>103</v>
      </c>
      <c r="BE41" s="89" t="s">
        <v>104</v>
      </c>
      <c r="BF41" s="90" t="s">
        <v>122</v>
      </c>
      <c r="BG41" s="90" t="s">
        <v>211</v>
      </c>
      <c r="BH41" s="90" t="s">
        <v>100</v>
      </c>
    </row>
    <row r="42" spans="1:60">
      <c r="A42" s="407" t="s">
        <v>217</v>
      </c>
      <c r="B42" s="94">
        <f>'For Doctor'!A19</f>
        <v>0</v>
      </c>
      <c r="C42" s="94">
        <f>'For Doctor'!C19</f>
        <v>0</v>
      </c>
      <c r="D42" s="94">
        <f t="shared" ref="D42:M45" si="0">VLOOKUP($B42,$B$4:$BH$32,D$40,FALSE)*$C42</f>
        <v>0</v>
      </c>
      <c r="E42" s="94">
        <f t="shared" si="0"/>
        <v>0</v>
      </c>
      <c r="F42" s="94">
        <f t="shared" si="0"/>
        <v>0</v>
      </c>
      <c r="G42" s="94">
        <f t="shared" si="0"/>
        <v>0</v>
      </c>
      <c r="H42" s="94">
        <f t="shared" si="0"/>
        <v>0</v>
      </c>
      <c r="I42" s="94">
        <f t="shared" si="0"/>
        <v>0</v>
      </c>
      <c r="J42" s="95">
        <f t="shared" si="0"/>
        <v>0</v>
      </c>
      <c r="K42" s="94">
        <f t="shared" si="0"/>
        <v>0</v>
      </c>
      <c r="L42" s="94">
        <f t="shared" si="0"/>
        <v>0</v>
      </c>
      <c r="M42" s="94">
        <f t="shared" si="0"/>
        <v>0</v>
      </c>
      <c r="N42" s="94">
        <f t="shared" ref="N42:W45" si="1">VLOOKUP($B42,$B$4:$BH$32,N$40,FALSE)*$C42</f>
        <v>0</v>
      </c>
      <c r="O42" s="94">
        <f t="shared" si="1"/>
        <v>0</v>
      </c>
      <c r="P42" s="94">
        <f t="shared" si="1"/>
        <v>0</v>
      </c>
      <c r="Q42" s="94">
        <f t="shared" si="1"/>
        <v>0</v>
      </c>
      <c r="R42" s="94">
        <f t="shared" si="1"/>
        <v>0</v>
      </c>
      <c r="S42" s="94">
        <f t="shared" si="1"/>
        <v>0</v>
      </c>
      <c r="T42" s="94">
        <f t="shared" si="1"/>
        <v>0</v>
      </c>
      <c r="U42" s="94">
        <f t="shared" si="1"/>
        <v>0</v>
      </c>
      <c r="V42" s="94">
        <f t="shared" si="1"/>
        <v>0</v>
      </c>
      <c r="W42" s="94">
        <f t="shared" si="1"/>
        <v>0</v>
      </c>
      <c r="X42" s="94">
        <f t="shared" ref="X42:AG45" si="2">VLOOKUP($B42,$B$4:$BH$32,X$40,FALSE)*$C42</f>
        <v>0</v>
      </c>
      <c r="Y42" s="94">
        <f t="shared" si="2"/>
        <v>0</v>
      </c>
      <c r="Z42" s="94">
        <f t="shared" si="2"/>
        <v>0</v>
      </c>
      <c r="AA42" s="94">
        <f t="shared" si="2"/>
        <v>0</v>
      </c>
      <c r="AB42" s="94">
        <f t="shared" si="2"/>
        <v>0</v>
      </c>
      <c r="AC42" s="94">
        <f t="shared" si="2"/>
        <v>0</v>
      </c>
      <c r="AD42" s="94">
        <f t="shared" si="2"/>
        <v>0</v>
      </c>
      <c r="AE42" s="94">
        <f t="shared" si="2"/>
        <v>0</v>
      </c>
      <c r="AF42" s="94">
        <f t="shared" si="2"/>
        <v>0</v>
      </c>
      <c r="AG42" s="94">
        <f t="shared" si="2"/>
        <v>0</v>
      </c>
      <c r="AH42" s="94">
        <f t="shared" ref="AH42:AQ45" si="3">VLOOKUP($B42,$B$4:$BH$32,AH$40,FALSE)*$C42</f>
        <v>0</v>
      </c>
      <c r="AI42" s="94">
        <f t="shared" si="3"/>
        <v>0</v>
      </c>
      <c r="AJ42" s="94">
        <f t="shared" si="3"/>
        <v>0</v>
      </c>
      <c r="AK42" s="94">
        <f t="shared" si="3"/>
        <v>0</v>
      </c>
      <c r="AL42" s="94">
        <f t="shared" si="3"/>
        <v>0</v>
      </c>
      <c r="AM42" s="94">
        <f t="shared" si="3"/>
        <v>0</v>
      </c>
      <c r="AN42" s="94">
        <f t="shared" si="3"/>
        <v>0</v>
      </c>
      <c r="AO42" s="94">
        <f t="shared" si="3"/>
        <v>0</v>
      </c>
      <c r="AP42" s="94">
        <f t="shared" si="3"/>
        <v>0</v>
      </c>
      <c r="AQ42" s="94">
        <f t="shared" si="3"/>
        <v>0</v>
      </c>
      <c r="AR42" s="94">
        <f t="shared" ref="AR42:BA45" si="4">VLOOKUP($B42,$B$4:$BH$32,AR$40,FALSE)*$C42</f>
        <v>0</v>
      </c>
      <c r="AS42" s="94">
        <f t="shared" si="4"/>
        <v>0</v>
      </c>
      <c r="AT42" s="94">
        <f t="shared" si="4"/>
        <v>0</v>
      </c>
      <c r="AU42" s="94">
        <f t="shared" si="4"/>
        <v>0</v>
      </c>
      <c r="AV42" s="94">
        <f t="shared" si="4"/>
        <v>0</v>
      </c>
      <c r="AW42" s="94">
        <f t="shared" si="4"/>
        <v>0</v>
      </c>
      <c r="AX42" s="94">
        <f t="shared" si="4"/>
        <v>0</v>
      </c>
      <c r="AY42" s="94">
        <f t="shared" si="4"/>
        <v>0</v>
      </c>
      <c r="AZ42" s="94">
        <f t="shared" si="4"/>
        <v>0</v>
      </c>
      <c r="BA42" s="94">
        <f t="shared" si="4"/>
        <v>0</v>
      </c>
      <c r="BB42" s="94">
        <f t="shared" ref="BB42:BH45" si="5">VLOOKUP($B42,$B$4:$BH$32,BB$40,FALSE)*$C42</f>
        <v>0</v>
      </c>
      <c r="BC42" s="94">
        <f t="shared" si="5"/>
        <v>0</v>
      </c>
      <c r="BD42" s="94">
        <f t="shared" si="5"/>
        <v>0</v>
      </c>
      <c r="BE42" s="94">
        <f t="shared" si="5"/>
        <v>0</v>
      </c>
      <c r="BF42" s="94">
        <f t="shared" si="5"/>
        <v>0</v>
      </c>
      <c r="BG42" s="94">
        <f t="shared" si="5"/>
        <v>0</v>
      </c>
      <c r="BH42" s="96">
        <f t="shared" si="5"/>
        <v>0</v>
      </c>
    </row>
    <row r="43" spans="1:60">
      <c r="A43" s="408"/>
      <c r="B43" s="42">
        <f>'For Doctor'!F19</f>
        <v>0</v>
      </c>
      <c r="C43" s="42">
        <f>'For Doctor'!H19</f>
        <v>0</v>
      </c>
      <c r="D43" s="42">
        <f t="shared" si="0"/>
        <v>0</v>
      </c>
      <c r="E43" s="42">
        <f t="shared" si="0"/>
        <v>0</v>
      </c>
      <c r="F43" s="42">
        <f t="shared" si="0"/>
        <v>0</v>
      </c>
      <c r="G43" s="42">
        <f t="shared" si="0"/>
        <v>0</v>
      </c>
      <c r="H43" s="42">
        <f t="shared" si="0"/>
        <v>0</v>
      </c>
      <c r="I43" s="42">
        <f t="shared" si="0"/>
        <v>0</v>
      </c>
      <c r="J43" s="43">
        <f t="shared" si="0"/>
        <v>0</v>
      </c>
      <c r="K43" s="42">
        <f t="shared" si="0"/>
        <v>0</v>
      </c>
      <c r="L43" s="42">
        <f t="shared" si="0"/>
        <v>0</v>
      </c>
      <c r="M43" s="42">
        <f t="shared" si="0"/>
        <v>0</v>
      </c>
      <c r="N43" s="42">
        <f t="shared" si="1"/>
        <v>0</v>
      </c>
      <c r="O43" s="44">
        <f t="shared" si="1"/>
        <v>0</v>
      </c>
      <c r="P43" s="42">
        <f t="shared" si="1"/>
        <v>0</v>
      </c>
      <c r="Q43" s="42">
        <f t="shared" si="1"/>
        <v>0</v>
      </c>
      <c r="R43" s="42">
        <f t="shared" si="1"/>
        <v>0</v>
      </c>
      <c r="S43" s="42">
        <f t="shared" si="1"/>
        <v>0</v>
      </c>
      <c r="T43" s="42">
        <f t="shared" si="1"/>
        <v>0</v>
      </c>
      <c r="U43" s="42">
        <f t="shared" si="1"/>
        <v>0</v>
      </c>
      <c r="V43" s="42">
        <f t="shared" si="1"/>
        <v>0</v>
      </c>
      <c r="W43" s="42">
        <f t="shared" si="1"/>
        <v>0</v>
      </c>
      <c r="X43" s="42">
        <f t="shared" si="2"/>
        <v>0</v>
      </c>
      <c r="Y43" s="42">
        <f t="shared" si="2"/>
        <v>0</v>
      </c>
      <c r="Z43" s="42">
        <f t="shared" si="2"/>
        <v>0</v>
      </c>
      <c r="AA43" s="42">
        <f t="shared" si="2"/>
        <v>0</v>
      </c>
      <c r="AB43" s="42">
        <f t="shared" si="2"/>
        <v>0</v>
      </c>
      <c r="AC43" s="42">
        <f t="shared" si="2"/>
        <v>0</v>
      </c>
      <c r="AD43" s="42">
        <f t="shared" si="2"/>
        <v>0</v>
      </c>
      <c r="AE43" s="42">
        <f t="shared" si="2"/>
        <v>0</v>
      </c>
      <c r="AF43" s="42">
        <f t="shared" si="2"/>
        <v>0</v>
      </c>
      <c r="AG43" s="42">
        <f t="shared" si="2"/>
        <v>0</v>
      </c>
      <c r="AH43" s="42">
        <f t="shared" si="3"/>
        <v>0</v>
      </c>
      <c r="AI43" s="42">
        <f t="shared" si="3"/>
        <v>0</v>
      </c>
      <c r="AJ43" s="42">
        <f t="shared" si="3"/>
        <v>0</v>
      </c>
      <c r="AK43" s="42">
        <f t="shared" si="3"/>
        <v>0</v>
      </c>
      <c r="AL43" s="42">
        <f t="shared" si="3"/>
        <v>0</v>
      </c>
      <c r="AM43" s="42">
        <f t="shared" si="3"/>
        <v>0</v>
      </c>
      <c r="AN43" s="42">
        <f t="shared" si="3"/>
        <v>0</v>
      </c>
      <c r="AO43" s="42">
        <f t="shared" si="3"/>
        <v>0</v>
      </c>
      <c r="AP43" s="42">
        <f t="shared" si="3"/>
        <v>0</v>
      </c>
      <c r="AQ43" s="42">
        <f t="shared" si="3"/>
        <v>0</v>
      </c>
      <c r="AR43" s="42">
        <f t="shared" si="4"/>
        <v>0</v>
      </c>
      <c r="AS43" s="42">
        <f t="shared" si="4"/>
        <v>0</v>
      </c>
      <c r="AT43" s="42">
        <f t="shared" si="4"/>
        <v>0</v>
      </c>
      <c r="AU43" s="42">
        <f t="shared" si="4"/>
        <v>0</v>
      </c>
      <c r="AV43" s="42">
        <f t="shared" si="4"/>
        <v>0</v>
      </c>
      <c r="AW43" s="42">
        <f t="shared" si="4"/>
        <v>0</v>
      </c>
      <c r="AX43" s="42">
        <f t="shared" si="4"/>
        <v>0</v>
      </c>
      <c r="AY43" s="42">
        <f t="shared" si="4"/>
        <v>0</v>
      </c>
      <c r="AZ43" s="42">
        <f t="shared" si="4"/>
        <v>0</v>
      </c>
      <c r="BA43" s="42">
        <f t="shared" si="4"/>
        <v>0</v>
      </c>
      <c r="BB43" s="42">
        <f t="shared" si="5"/>
        <v>0</v>
      </c>
      <c r="BC43" s="42">
        <f t="shared" si="5"/>
        <v>0</v>
      </c>
      <c r="BD43" s="42">
        <f t="shared" si="5"/>
        <v>0</v>
      </c>
      <c r="BE43" s="42">
        <f t="shared" si="5"/>
        <v>0</v>
      </c>
      <c r="BF43" s="42">
        <f t="shared" si="5"/>
        <v>0</v>
      </c>
      <c r="BG43" s="42">
        <f t="shared" si="5"/>
        <v>0</v>
      </c>
      <c r="BH43" s="97">
        <f t="shared" si="5"/>
        <v>0</v>
      </c>
    </row>
    <row r="44" spans="1:60">
      <c r="A44" s="409" t="s">
        <v>105</v>
      </c>
      <c r="B44" s="7">
        <f>'For Doctor'!A24</f>
        <v>0</v>
      </c>
      <c r="C44" s="7">
        <f>'For Doctor'!C24</f>
        <v>0</v>
      </c>
      <c r="D44" s="47">
        <f t="shared" si="0"/>
        <v>0</v>
      </c>
      <c r="E44" s="47">
        <f t="shared" si="0"/>
        <v>0</v>
      </c>
      <c r="F44" s="47">
        <f t="shared" si="0"/>
        <v>0</v>
      </c>
      <c r="G44" s="47">
        <f t="shared" si="0"/>
        <v>0</v>
      </c>
      <c r="H44" s="47">
        <f t="shared" si="0"/>
        <v>0</v>
      </c>
      <c r="I44" s="47">
        <f t="shared" si="0"/>
        <v>0</v>
      </c>
      <c r="J44" s="48">
        <f t="shared" si="0"/>
        <v>0</v>
      </c>
      <c r="K44" s="47">
        <f t="shared" si="0"/>
        <v>0</v>
      </c>
      <c r="L44" s="47">
        <f t="shared" si="0"/>
        <v>0</v>
      </c>
      <c r="M44" s="47">
        <f t="shared" si="0"/>
        <v>0</v>
      </c>
      <c r="N44" s="47">
        <f t="shared" si="1"/>
        <v>0</v>
      </c>
      <c r="O44" s="49">
        <f t="shared" si="1"/>
        <v>0</v>
      </c>
      <c r="P44" s="49">
        <f t="shared" si="1"/>
        <v>0</v>
      </c>
      <c r="Q44" s="47">
        <f t="shared" si="1"/>
        <v>0</v>
      </c>
      <c r="R44" s="49">
        <f t="shared" si="1"/>
        <v>0</v>
      </c>
      <c r="S44" s="48">
        <f t="shared" si="1"/>
        <v>0</v>
      </c>
      <c r="T44" s="47">
        <f t="shared" si="1"/>
        <v>0</v>
      </c>
      <c r="U44" s="47">
        <f t="shared" si="1"/>
        <v>0</v>
      </c>
      <c r="V44" s="47">
        <f t="shared" si="1"/>
        <v>0</v>
      </c>
      <c r="W44" s="47">
        <f t="shared" si="1"/>
        <v>0</v>
      </c>
      <c r="X44" s="47">
        <f t="shared" si="2"/>
        <v>0</v>
      </c>
      <c r="Y44" s="47">
        <f t="shared" si="2"/>
        <v>0</v>
      </c>
      <c r="Z44" s="47">
        <f t="shared" si="2"/>
        <v>0</v>
      </c>
      <c r="AA44" s="47">
        <f t="shared" si="2"/>
        <v>0</v>
      </c>
      <c r="AB44" s="47">
        <f t="shared" si="2"/>
        <v>0</v>
      </c>
      <c r="AC44" s="47">
        <f t="shared" si="2"/>
        <v>0</v>
      </c>
      <c r="AD44" s="47">
        <f t="shared" si="2"/>
        <v>0</v>
      </c>
      <c r="AE44" s="47">
        <f t="shared" si="2"/>
        <v>0</v>
      </c>
      <c r="AF44" s="47">
        <f t="shared" si="2"/>
        <v>0</v>
      </c>
      <c r="AG44" s="47">
        <f t="shared" si="2"/>
        <v>0</v>
      </c>
      <c r="AH44" s="47">
        <f t="shared" si="3"/>
        <v>0</v>
      </c>
      <c r="AI44" s="47">
        <f t="shared" si="3"/>
        <v>0</v>
      </c>
      <c r="AJ44" s="47">
        <f t="shared" si="3"/>
        <v>0</v>
      </c>
      <c r="AK44" s="47">
        <f t="shared" si="3"/>
        <v>0</v>
      </c>
      <c r="AL44" s="47">
        <f t="shared" si="3"/>
        <v>0</v>
      </c>
      <c r="AM44" s="47">
        <f t="shared" si="3"/>
        <v>0</v>
      </c>
      <c r="AN44" s="47">
        <f t="shared" si="3"/>
        <v>0</v>
      </c>
      <c r="AO44" s="47">
        <f t="shared" si="3"/>
        <v>0</v>
      </c>
      <c r="AP44" s="47">
        <f t="shared" si="3"/>
        <v>0</v>
      </c>
      <c r="AQ44" s="47">
        <f t="shared" si="3"/>
        <v>0</v>
      </c>
      <c r="AR44" s="47">
        <f t="shared" si="4"/>
        <v>0</v>
      </c>
      <c r="AS44" s="47">
        <f t="shared" si="4"/>
        <v>0</v>
      </c>
      <c r="AT44" s="47">
        <f t="shared" si="4"/>
        <v>0</v>
      </c>
      <c r="AU44" s="47">
        <f t="shared" si="4"/>
        <v>0</v>
      </c>
      <c r="AV44" s="47">
        <f t="shared" si="4"/>
        <v>0</v>
      </c>
      <c r="AW44" s="47">
        <f t="shared" si="4"/>
        <v>0</v>
      </c>
      <c r="AX44" s="47">
        <f t="shared" si="4"/>
        <v>0</v>
      </c>
      <c r="AY44" s="47">
        <f t="shared" si="4"/>
        <v>0</v>
      </c>
      <c r="AZ44" s="47">
        <f t="shared" si="4"/>
        <v>0</v>
      </c>
      <c r="BA44" s="47">
        <f t="shared" si="4"/>
        <v>0</v>
      </c>
      <c r="BB44" s="47">
        <f t="shared" si="5"/>
        <v>0</v>
      </c>
      <c r="BC44" s="47">
        <f t="shared" si="5"/>
        <v>0</v>
      </c>
      <c r="BD44" s="47">
        <f t="shared" si="5"/>
        <v>0</v>
      </c>
      <c r="BE44" s="47">
        <f t="shared" si="5"/>
        <v>0</v>
      </c>
      <c r="BF44" s="47">
        <f t="shared" si="5"/>
        <v>0</v>
      </c>
      <c r="BG44" s="47">
        <f t="shared" si="5"/>
        <v>0</v>
      </c>
      <c r="BH44" s="98">
        <f t="shared" si="5"/>
        <v>0</v>
      </c>
    </row>
    <row r="45" spans="1:60">
      <c r="A45" s="409"/>
      <c r="B45" s="7">
        <f>'For Doctor'!F24</f>
        <v>0</v>
      </c>
      <c r="C45" s="7">
        <f>'For Doctor'!H24</f>
        <v>0</v>
      </c>
      <c r="D45" s="50">
        <f t="shared" si="0"/>
        <v>0</v>
      </c>
      <c r="E45" s="50">
        <f t="shared" si="0"/>
        <v>0</v>
      </c>
      <c r="F45" s="50">
        <f t="shared" si="0"/>
        <v>0</v>
      </c>
      <c r="G45" s="50">
        <f t="shared" si="0"/>
        <v>0</v>
      </c>
      <c r="H45" s="50">
        <f t="shared" si="0"/>
        <v>0</v>
      </c>
      <c r="I45" s="50">
        <f t="shared" si="0"/>
        <v>0</v>
      </c>
      <c r="J45" s="48">
        <f t="shared" si="0"/>
        <v>0</v>
      </c>
      <c r="K45" s="50">
        <f t="shared" si="0"/>
        <v>0</v>
      </c>
      <c r="L45" s="50">
        <f t="shared" si="0"/>
        <v>0</v>
      </c>
      <c r="M45" s="50">
        <f t="shared" si="0"/>
        <v>0</v>
      </c>
      <c r="N45" s="50">
        <f t="shared" si="1"/>
        <v>0</v>
      </c>
      <c r="O45" s="50">
        <f t="shared" si="1"/>
        <v>0</v>
      </c>
      <c r="P45" s="50">
        <f t="shared" si="1"/>
        <v>0</v>
      </c>
      <c r="Q45" s="50">
        <f t="shared" si="1"/>
        <v>0</v>
      </c>
      <c r="R45" s="50">
        <f t="shared" si="1"/>
        <v>0</v>
      </c>
      <c r="S45" s="50">
        <f t="shared" si="1"/>
        <v>0</v>
      </c>
      <c r="T45" s="50">
        <f t="shared" si="1"/>
        <v>0</v>
      </c>
      <c r="U45" s="50">
        <f t="shared" si="1"/>
        <v>0</v>
      </c>
      <c r="V45" s="50">
        <f t="shared" si="1"/>
        <v>0</v>
      </c>
      <c r="W45" s="50">
        <f t="shared" si="1"/>
        <v>0</v>
      </c>
      <c r="X45" s="50">
        <f t="shared" si="2"/>
        <v>0</v>
      </c>
      <c r="Y45" s="50">
        <f t="shared" si="2"/>
        <v>0</v>
      </c>
      <c r="Z45" s="50">
        <f t="shared" si="2"/>
        <v>0</v>
      </c>
      <c r="AA45" s="50">
        <f t="shared" si="2"/>
        <v>0</v>
      </c>
      <c r="AB45" s="50">
        <f t="shared" si="2"/>
        <v>0</v>
      </c>
      <c r="AC45" s="50">
        <f t="shared" si="2"/>
        <v>0</v>
      </c>
      <c r="AD45" s="50">
        <f t="shared" si="2"/>
        <v>0</v>
      </c>
      <c r="AE45" s="50">
        <f t="shared" si="2"/>
        <v>0</v>
      </c>
      <c r="AF45" s="50">
        <f t="shared" si="2"/>
        <v>0</v>
      </c>
      <c r="AG45" s="50">
        <f t="shared" si="2"/>
        <v>0</v>
      </c>
      <c r="AH45" s="50">
        <f t="shared" si="3"/>
        <v>0</v>
      </c>
      <c r="AI45" s="50">
        <f t="shared" si="3"/>
        <v>0</v>
      </c>
      <c r="AJ45" s="50">
        <f t="shared" si="3"/>
        <v>0</v>
      </c>
      <c r="AK45" s="50">
        <f t="shared" si="3"/>
        <v>0</v>
      </c>
      <c r="AL45" s="50">
        <f t="shared" si="3"/>
        <v>0</v>
      </c>
      <c r="AM45" s="50">
        <f t="shared" si="3"/>
        <v>0</v>
      </c>
      <c r="AN45" s="50">
        <f t="shared" si="3"/>
        <v>0</v>
      </c>
      <c r="AO45" s="50">
        <f t="shared" si="3"/>
        <v>0</v>
      </c>
      <c r="AP45" s="50">
        <f t="shared" si="3"/>
        <v>0</v>
      </c>
      <c r="AQ45" s="50">
        <f t="shared" si="3"/>
        <v>0</v>
      </c>
      <c r="AR45" s="50">
        <f t="shared" si="4"/>
        <v>0</v>
      </c>
      <c r="AS45" s="50">
        <f t="shared" si="4"/>
        <v>0</v>
      </c>
      <c r="AT45" s="50">
        <f t="shared" si="4"/>
        <v>0</v>
      </c>
      <c r="AU45" s="50">
        <f t="shared" si="4"/>
        <v>0</v>
      </c>
      <c r="AV45" s="50">
        <f t="shared" si="4"/>
        <v>0</v>
      </c>
      <c r="AW45" s="50">
        <f t="shared" si="4"/>
        <v>0</v>
      </c>
      <c r="AX45" s="50">
        <f t="shared" si="4"/>
        <v>0</v>
      </c>
      <c r="AY45" s="50">
        <f t="shared" si="4"/>
        <v>0</v>
      </c>
      <c r="AZ45" s="50">
        <f t="shared" si="4"/>
        <v>0</v>
      </c>
      <c r="BA45" s="50">
        <f t="shared" si="4"/>
        <v>0</v>
      </c>
      <c r="BB45" s="50">
        <f t="shared" si="5"/>
        <v>0</v>
      </c>
      <c r="BC45" s="50">
        <f t="shared" si="5"/>
        <v>0</v>
      </c>
      <c r="BD45" s="50">
        <f t="shared" si="5"/>
        <v>0</v>
      </c>
      <c r="BE45" s="50">
        <f t="shared" si="5"/>
        <v>0</v>
      </c>
      <c r="BF45" s="50">
        <f t="shared" si="5"/>
        <v>0</v>
      </c>
      <c r="BG45" s="50">
        <f t="shared" si="5"/>
        <v>0</v>
      </c>
      <c r="BH45" s="99">
        <f t="shared" si="5"/>
        <v>0</v>
      </c>
    </row>
    <row r="46" spans="1:60">
      <c r="A46" s="58"/>
      <c r="B46" s="100" t="s">
        <v>236</v>
      </c>
      <c r="C46" s="100"/>
      <c r="D46" s="100">
        <f>SUM(D42:D45)</f>
        <v>0</v>
      </c>
      <c r="E46" s="100">
        <f t="shared" ref="E46:BH46" si="6">SUM(E42:E45)</f>
        <v>0</v>
      </c>
      <c r="F46" s="100">
        <f t="shared" si="6"/>
        <v>0</v>
      </c>
      <c r="G46" s="100">
        <f t="shared" si="6"/>
        <v>0</v>
      </c>
      <c r="H46" s="100">
        <f t="shared" si="6"/>
        <v>0</v>
      </c>
      <c r="I46" s="100">
        <f t="shared" si="6"/>
        <v>0</v>
      </c>
      <c r="J46" s="101">
        <f t="shared" si="6"/>
        <v>0</v>
      </c>
      <c r="K46" s="100">
        <f t="shared" si="6"/>
        <v>0</v>
      </c>
      <c r="L46" s="100">
        <f t="shared" si="6"/>
        <v>0</v>
      </c>
      <c r="M46" s="100">
        <f t="shared" si="6"/>
        <v>0</v>
      </c>
      <c r="N46" s="100">
        <f t="shared" si="6"/>
        <v>0</v>
      </c>
      <c r="O46" s="100">
        <f t="shared" si="6"/>
        <v>0</v>
      </c>
      <c r="P46" s="100">
        <f t="shared" si="6"/>
        <v>0</v>
      </c>
      <c r="Q46" s="100">
        <f t="shared" si="6"/>
        <v>0</v>
      </c>
      <c r="R46" s="100">
        <f t="shared" si="6"/>
        <v>0</v>
      </c>
      <c r="S46" s="100">
        <f t="shared" si="6"/>
        <v>0</v>
      </c>
      <c r="T46" s="100">
        <f t="shared" si="6"/>
        <v>0</v>
      </c>
      <c r="U46" s="100">
        <f t="shared" si="6"/>
        <v>0</v>
      </c>
      <c r="V46" s="100">
        <f t="shared" si="6"/>
        <v>0</v>
      </c>
      <c r="W46" s="100">
        <f t="shared" si="6"/>
        <v>0</v>
      </c>
      <c r="X46" s="100">
        <f t="shared" si="6"/>
        <v>0</v>
      </c>
      <c r="Y46" s="100">
        <f t="shared" si="6"/>
        <v>0</v>
      </c>
      <c r="Z46" s="100">
        <f t="shared" si="6"/>
        <v>0</v>
      </c>
      <c r="AA46" s="100">
        <f t="shared" si="6"/>
        <v>0</v>
      </c>
      <c r="AB46" s="100">
        <f t="shared" si="6"/>
        <v>0</v>
      </c>
      <c r="AC46" s="100">
        <f t="shared" si="6"/>
        <v>0</v>
      </c>
      <c r="AD46" s="100">
        <f t="shared" si="6"/>
        <v>0</v>
      </c>
      <c r="AE46" s="100">
        <f t="shared" si="6"/>
        <v>0</v>
      </c>
      <c r="AF46" s="100">
        <f t="shared" si="6"/>
        <v>0</v>
      </c>
      <c r="AG46" s="100">
        <f t="shared" si="6"/>
        <v>0</v>
      </c>
      <c r="AH46" s="100">
        <f t="shared" si="6"/>
        <v>0</v>
      </c>
      <c r="AI46" s="100">
        <f t="shared" si="6"/>
        <v>0</v>
      </c>
      <c r="AJ46" s="100">
        <f t="shared" si="6"/>
        <v>0</v>
      </c>
      <c r="AK46" s="100">
        <f t="shared" si="6"/>
        <v>0</v>
      </c>
      <c r="AL46" s="100">
        <f t="shared" si="6"/>
        <v>0</v>
      </c>
      <c r="AM46" s="100">
        <f t="shared" si="6"/>
        <v>0</v>
      </c>
      <c r="AN46" s="100">
        <f t="shared" si="6"/>
        <v>0</v>
      </c>
      <c r="AO46" s="100">
        <f t="shared" si="6"/>
        <v>0</v>
      </c>
      <c r="AP46" s="100">
        <f t="shared" si="6"/>
        <v>0</v>
      </c>
      <c r="AQ46" s="100">
        <f t="shared" si="6"/>
        <v>0</v>
      </c>
      <c r="AR46" s="100">
        <f t="shared" si="6"/>
        <v>0</v>
      </c>
      <c r="AS46" s="100">
        <f t="shared" si="6"/>
        <v>0</v>
      </c>
      <c r="AT46" s="100">
        <f t="shared" si="6"/>
        <v>0</v>
      </c>
      <c r="AU46" s="100">
        <f t="shared" si="6"/>
        <v>0</v>
      </c>
      <c r="AV46" s="100">
        <f t="shared" si="6"/>
        <v>0</v>
      </c>
      <c r="AW46" s="100">
        <f t="shared" si="6"/>
        <v>0</v>
      </c>
      <c r="AX46" s="100">
        <f t="shared" si="6"/>
        <v>0</v>
      </c>
      <c r="AY46" s="100">
        <f t="shared" si="6"/>
        <v>0</v>
      </c>
      <c r="AZ46" s="100">
        <f t="shared" si="6"/>
        <v>0</v>
      </c>
      <c r="BA46" s="100">
        <f t="shared" si="6"/>
        <v>0</v>
      </c>
      <c r="BB46" s="100">
        <f t="shared" si="6"/>
        <v>0</v>
      </c>
      <c r="BC46" s="100">
        <f t="shared" si="6"/>
        <v>0</v>
      </c>
      <c r="BD46" s="100">
        <f t="shared" si="6"/>
        <v>0</v>
      </c>
      <c r="BE46" s="100">
        <f t="shared" si="6"/>
        <v>0</v>
      </c>
      <c r="BF46" s="100">
        <f t="shared" si="6"/>
        <v>0</v>
      </c>
      <c r="BG46" s="100">
        <f t="shared" si="6"/>
        <v>0</v>
      </c>
      <c r="BH46" s="102">
        <f t="shared" si="6"/>
        <v>0</v>
      </c>
    </row>
    <row r="47" spans="1:60">
      <c r="A47" s="58"/>
      <c r="B47" s="100" t="s">
        <v>111</v>
      </c>
      <c r="C47" s="6"/>
      <c r="D47" s="6">
        <f>D42+D43</f>
        <v>0</v>
      </c>
      <c r="E47" s="6">
        <f t="shared" ref="E47:BH47" si="7">E42+E43</f>
        <v>0</v>
      </c>
      <c r="F47" s="6">
        <f t="shared" si="7"/>
        <v>0</v>
      </c>
      <c r="G47" s="6">
        <f t="shared" si="7"/>
        <v>0</v>
      </c>
      <c r="H47" s="6">
        <f t="shared" si="7"/>
        <v>0</v>
      </c>
      <c r="I47" s="6">
        <f t="shared" si="7"/>
        <v>0</v>
      </c>
      <c r="J47" s="6">
        <f t="shared" si="7"/>
        <v>0</v>
      </c>
      <c r="K47" s="6">
        <f t="shared" si="7"/>
        <v>0</v>
      </c>
      <c r="L47" s="6">
        <f t="shared" si="7"/>
        <v>0</v>
      </c>
      <c r="M47" s="6">
        <f t="shared" si="7"/>
        <v>0</v>
      </c>
      <c r="N47" s="6">
        <f t="shared" si="7"/>
        <v>0</v>
      </c>
      <c r="O47" s="6">
        <f t="shared" si="7"/>
        <v>0</v>
      </c>
      <c r="P47" s="6">
        <f t="shared" si="7"/>
        <v>0</v>
      </c>
      <c r="Q47" s="6">
        <f t="shared" si="7"/>
        <v>0</v>
      </c>
      <c r="R47" s="6">
        <f t="shared" si="7"/>
        <v>0</v>
      </c>
      <c r="S47" s="6">
        <f t="shared" si="7"/>
        <v>0</v>
      </c>
      <c r="T47" s="6">
        <f t="shared" si="7"/>
        <v>0</v>
      </c>
      <c r="U47" s="6">
        <f t="shared" si="7"/>
        <v>0</v>
      </c>
      <c r="V47" s="6">
        <f t="shared" si="7"/>
        <v>0</v>
      </c>
      <c r="W47" s="6">
        <f t="shared" si="7"/>
        <v>0</v>
      </c>
      <c r="X47" s="6">
        <f t="shared" si="7"/>
        <v>0</v>
      </c>
      <c r="Y47" s="6">
        <f t="shared" si="7"/>
        <v>0</v>
      </c>
      <c r="Z47" s="6">
        <f t="shared" si="7"/>
        <v>0</v>
      </c>
      <c r="AA47" s="6">
        <f t="shared" si="7"/>
        <v>0</v>
      </c>
      <c r="AB47" s="6">
        <f t="shared" si="7"/>
        <v>0</v>
      </c>
      <c r="AC47" s="6">
        <f t="shared" si="7"/>
        <v>0</v>
      </c>
      <c r="AD47" s="6">
        <f t="shared" si="7"/>
        <v>0</v>
      </c>
      <c r="AE47" s="6">
        <f t="shared" si="7"/>
        <v>0</v>
      </c>
      <c r="AF47" s="6">
        <f t="shared" si="7"/>
        <v>0</v>
      </c>
      <c r="AG47" s="6">
        <f t="shared" si="7"/>
        <v>0</v>
      </c>
      <c r="AH47" s="6">
        <f t="shared" si="7"/>
        <v>0</v>
      </c>
      <c r="AI47" s="6">
        <f t="shared" si="7"/>
        <v>0</v>
      </c>
      <c r="AJ47" s="6">
        <f t="shared" si="7"/>
        <v>0</v>
      </c>
      <c r="AK47" s="6">
        <f t="shared" si="7"/>
        <v>0</v>
      </c>
      <c r="AL47" s="6">
        <f t="shared" si="7"/>
        <v>0</v>
      </c>
      <c r="AM47" s="6">
        <f t="shared" si="7"/>
        <v>0</v>
      </c>
      <c r="AN47" s="6">
        <f t="shared" si="7"/>
        <v>0</v>
      </c>
      <c r="AO47" s="6">
        <f t="shared" si="7"/>
        <v>0</v>
      </c>
      <c r="AP47" s="6">
        <f t="shared" si="7"/>
        <v>0</v>
      </c>
      <c r="AQ47" s="6">
        <f t="shared" si="7"/>
        <v>0</v>
      </c>
      <c r="AR47" s="6">
        <f t="shared" si="7"/>
        <v>0</v>
      </c>
      <c r="AS47" s="6">
        <f t="shared" si="7"/>
        <v>0</v>
      </c>
      <c r="AT47" s="6">
        <f t="shared" si="7"/>
        <v>0</v>
      </c>
      <c r="AU47" s="6">
        <f t="shared" si="7"/>
        <v>0</v>
      </c>
      <c r="AV47" s="6">
        <f t="shared" si="7"/>
        <v>0</v>
      </c>
      <c r="AW47" s="6">
        <f t="shared" si="7"/>
        <v>0</v>
      </c>
      <c r="AX47" s="6">
        <f t="shared" si="7"/>
        <v>0</v>
      </c>
      <c r="AY47" s="6">
        <f t="shared" si="7"/>
        <v>0</v>
      </c>
      <c r="AZ47" s="6">
        <f t="shared" si="7"/>
        <v>0</v>
      </c>
      <c r="BA47" s="6">
        <f t="shared" si="7"/>
        <v>0</v>
      </c>
      <c r="BB47" s="6">
        <f t="shared" si="7"/>
        <v>0</v>
      </c>
      <c r="BC47" s="6">
        <f t="shared" si="7"/>
        <v>0</v>
      </c>
      <c r="BD47" s="6">
        <f t="shared" si="7"/>
        <v>0</v>
      </c>
      <c r="BE47" s="6">
        <f t="shared" si="7"/>
        <v>0</v>
      </c>
      <c r="BF47" s="6">
        <f t="shared" si="7"/>
        <v>0</v>
      </c>
      <c r="BG47" s="6">
        <f t="shared" si="7"/>
        <v>0</v>
      </c>
      <c r="BH47" s="59">
        <f t="shared" si="7"/>
        <v>0</v>
      </c>
    </row>
    <row r="48" spans="1:60" ht="13.5" thickBot="1">
      <c r="A48" s="65"/>
      <c r="B48" s="103" t="s">
        <v>105</v>
      </c>
      <c r="C48" s="66"/>
      <c r="D48" s="104">
        <f>D44+D45</f>
        <v>0</v>
      </c>
      <c r="E48" s="104">
        <f t="shared" ref="E48:BH48" si="8">E44+E45</f>
        <v>0</v>
      </c>
      <c r="F48" s="104">
        <f t="shared" si="8"/>
        <v>0</v>
      </c>
      <c r="G48" s="104">
        <f t="shared" si="8"/>
        <v>0</v>
      </c>
      <c r="H48" s="104">
        <f t="shared" si="8"/>
        <v>0</v>
      </c>
      <c r="I48" s="104">
        <f t="shared" si="8"/>
        <v>0</v>
      </c>
      <c r="J48" s="104">
        <f t="shared" si="8"/>
        <v>0</v>
      </c>
      <c r="K48" s="104">
        <f t="shared" si="8"/>
        <v>0</v>
      </c>
      <c r="L48" s="104">
        <f t="shared" si="8"/>
        <v>0</v>
      </c>
      <c r="M48" s="104">
        <f t="shared" si="8"/>
        <v>0</v>
      </c>
      <c r="N48" s="104">
        <f t="shared" si="8"/>
        <v>0</v>
      </c>
      <c r="O48" s="104">
        <f t="shared" si="8"/>
        <v>0</v>
      </c>
      <c r="P48" s="104">
        <f t="shared" si="8"/>
        <v>0</v>
      </c>
      <c r="Q48" s="104">
        <f t="shared" si="8"/>
        <v>0</v>
      </c>
      <c r="R48" s="104">
        <f t="shared" si="8"/>
        <v>0</v>
      </c>
      <c r="S48" s="104">
        <f t="shared" si="8"/>
        <v>0</v>
      </c>
      <c r="T48" s="104">
        <f t="shared" si="8"/>
        <v>0</v>
      </c>
      <c r="U48" s="104">
        <f t="shared" si="8"/>
        <v>0</v>
      </c>
      <c r="V48" s="104">
        <f t="shared" si="8"/>
        <v>0</v>
      </c>
      <c r="W48" s="104">
        <f t="shared" si="8"/>
        <v>0</v>
      </c>
      <c r="X48" s="104">
        <f t="shared" si="8"/>
        <v>0</v>
      </c>
      <c r="Y48" s="104">
        <f t="shared" si="8"/>
        <v>0</v>
      </c>
      <c r="Z48" s="104">
        <f t="shared" si="8"/>
        <v>0</v>
      </c>
      <c r="AA48" s="104">
        <f t="shared" si="8"/>
        <v>0</v>
      </c>
      <c r="AB48" s="104">
        <f t="shared" si="8"/>
        <v>0</v>
      </c>
      <c r="AC48" s="104">
        <f t="shared" si="8"/>
        <v>0</v>
      </c>
      <c r="AD48" s="104">
        <f t="shared" si="8"/>
        <v>0</v>
      </c>
      <c r="AE48" s="104">
        <f t="shared" si="8"/>
        <v>0</v>
      </c>
      <c r="AF48" s="104">
        <f t="shared" si="8"/>
        <v>0</v>
      </c>
      <c r="AG48" s="104">
        <f t="shared" si="8"/>
        <v>0</v>
      </c>
      <c r="AH48" s="104">
        <f t="shared" si="8"/>
        <v>0</v>
      </c>
      <c r="AI48" s="104">
        <f t="shared" si="8"/>
        <v>0</v>
      </c>
      <c r="AJ48" s="104">
        <f t="shared" si="8"/>
        <v>0</v>
      </c>
      <c r="AK48" s="104">
        <f t="shared" si="8"/>
        <v>0</v>
      </c>
      <c r="AL48" s="104">
        <f t="shared" si="8"/>
        <v>0</v>
      </c>
      <c r="AM48" s="104">
        <f t="shared" si="8"/>
        <v>0</v>
      </c>
      <c r="AN48" s="104">
        <f t="shared" si="8"/>
        <v>0</v>
      </c>
      <c r="AO48" s="104">
        <f t="shared" si="8"/>
        <v>0</v>
      </c>
      <c r="AP48" s="104">
        <f t="shared" si="8"/>
        <v>0</v>
      </c>
      <c r="AQ48" s="104">
        <f t="shared" si="8"/>
        <v>0</v>
      </c>
      <c r="AR48" s="104">
        <f t="shared" si="8"/>
        <v>0</v>
      </c>
      <c r="AS48" s="104">
        <f t="shared" si="8"/>
        <v>0</v>
      </c>
      <c r="AT48" s="104">
        <f t="shared" si="8"/>
        <v>0</v>
      </c>
      <c r="AU48" s="104">
        <f t="shared" si="8"/>
        <v>0</v>
      </c>
      <c r="AV48" s="104">
        <f t="shared" si="8"/>
        <v>0</v>
      </c>
      <c r="AW48" s="104">
        <f t="shared" si="8"/>
        <v>0</v>
      </c>
      <c r="AX48" s="104">
        <f t="shared" si="8"/>
        <v>0</v>
      </c>
      <c r="AY48" s="104">
        <f t="shared" si="8"/>
        <v>0</v>
      </c>
      <c r="AZ48" s="104">
        <f t="shared" si="8"/>
        <v>0</v>
      </c>
      <c r="BA48" s="104">
        <f t="shared" si="8"/>
        <v>0</v>
      </c>
      <c r="BB48" s="104">
        <f t="shared" si="8"/>
        <v>0</v>
      </c>
      <c r="BC48" s="104">
        <f t="shared" si="8"/>
        <v>0</v>
      </c>
      <c r="BD48" s="104">
        <f t="shared" si="8"/>
        <v>0</v>
      </c>
      <c r="BE48" s="104">
        <f t="shared" si="8"/>
        <v>0</v>
      </c>
      <c r="BF48" s="104">
        <f t="shared" si="8"/>
        <v>0</v>
      </c>
      <c r="BG48" s="104">
        <f t="shared" si="8"/>
        <v>0</v>
      </c>
      <c r="BH48" s="105">
        <f t="shared" si="8"/>
        <v>0</v>
      </c>
    </row>
    <row r="49" spans="2:42">
      <c r="E49" s="91" t="s">
        <v>248</v>
      </c>
      <c r="F49" s="92">
        <f>F46*4</f>
        <v>0</v>
      </c>
      <c r="G49" s="92">
        <f>G46*9</f>
        <v>0</v>
      </c>
      <c r="H49" s="93">
        <f>H46*4</f>
        <v>0</v>
      </c>
      <c r="AP49" s="2">
        <f>AN46+AO46+AP46</f>
        <v>0</v>
      </c>
    </row>
    <row r="50" spans="2:42" ht="13.5" thickBot="1">
      <c r="E50" s="77" t="s">
        <v>249</v>
      </c>
      <c r="F50" s="78" t="e">
        <f>F49/($G$49+$F$49+$H$49)</f>
        <v>#DIV/0!</v>
      </c>
      <c r="G50" s="78" t="e">
        <f t="shared" ref="G50:H50" si="9">G49/($G$49+$F$49+$H$49)</f>
        <v>#DIV/0!</v>
      </c>
      <c r="H50" s="79" t="e">
        <f t="shared" si="9"/>
        <v>#DIV/0!</v>
      </c>
    </row>
    <row r="51" spans="2:42" ht="37">
      <c r="K51" s="27" t="s">
        <v>61</v>
      </c>
      <c r="L51" s="27" t="s">
        <v>62</v>
      </c>
      <c r="M51" s="27" t="s">
        <v>124</v>
      </c>
      <c r="N51" s="27" t="s">
        <v>63</v>
      </c>
      <c r="O51" s="27" t="s">
        <v>64</v>
      </c>
      <c r="P51" s="27" t="s">
        <v>65</v>
      </c>
      <c r="Q51" s="27" t="s">
        <v>66</v>
      </c>
      <c r="R51" s="27" t="s">
        <v>67</v>
      </c>
      <c r="S51" s="27" t="s">
        <v>70</v>
      </c>
      <c r="T51" s="106"/>
      <c r="U51" s="35"/>
      <c r="V51" s="107"/>
      <c r="W51" s="107"/>
      <c r="X51" s="107"/>
      <c r="Z51" s="26" t="s">
        <v>74</v>
      </c>
      <c r="AA51" s="26" t="s">
        <v>76</v>
      </c>
      <c r="AB51" s="85" t="s">
        <v>75</v>
      </c>
      <c r="AC51" s="26" t="s">
        <v>77</v>
      </c>
      <c r="AD51" s="29" t="s">
        <v>106</v>
      </c>
      <c r="AE51" s="29" t="s">
        <v>298</v>
      </c>
      <c r="AF51" s="26" t="s">
        <v>78</v>
      </c>
      <c r="AG51" s="29" t="s">
        <v>160</v>
      </c>
      <c r="AH51" s="26" t="s">
        <v>253</v>
      </c>
      <c r="AI51" s="30" t="s">
        <v>79</v>
      </c>
      <c r="AJ51" s="26" t="s">
        <v>82</v>
      </c>
      <c r="AL51" s="107"/>
    </row>
    <row r="52" spans="2:42">
      <c r="K52" s="109">
        <f>K46/K36</f>
        <v>0</v>
      </c>
      <c r="L52" s="109">
        <f t="shared" ref="L52:P52" si="10">L46/L36</f>
        <v>0</v>
      </c>
      <c r="M52" s="109">
        <f t="shared" si="10"/>
        <v>0</v>
      </c>
      <c r="N52" s="109">
        <f t="shared" si="10"/>
        <v>0</v>
      </c>
      <c r="O52" s="109">
        <f t="shared" si="10"/>
        <v>0</v>
      </c>
      <c r="P52" s="109">
        <f t="shared" si="10"/>
        <v>0</v>
      </c>
      <c r="Q52" s="109">
        <f>R46/R36</f>
        <v>0</v>
      </c>
      <c r="R52" s="109">
        <f>S46/S36</f>
        <v>0</v>
      </c>
      <c r="S52" s="109">
        <f>V46/V36</f>
        <v>0</v>
      </c>
      <c r="T52" s="108"/>
      <c r="U52" s="35"/>
      <c r="V52" s="108"/>
      <c r="W52" s="108"/>
      <c r="X52" s="108"/>
      <c r="Z52" s="109">
        <f>Z46/Z36</f>
        <v>0</v>
      </c>
      <c r="AA52" s="109">
        <f t="shared" ref="AA52" si="11">AC46/AC36</f>
        <v>0</v>
      </c>
      <c r="AB52" s="76">
        <f>AB46/AB36</f>
        <v>0</v>
      </c>
      <c r="AC52" s="109">
        <f t="shared" ref="AC52:AI52" si="12">AD46/AD36</f>
        <v>0</v>
      </c>
      <c r="AD52" s="109">
        <f t="shared" si="12"/>
        <v>0</v>
      </c>
      <c r="AE52" s="109">
        <f t="shared" si="12"/>
        <v>0</v>
      </c>
      <c r="AF52" s="109">
        <f t="shared" si="12"/>
        <v>0</v>
      </c>
      <c r="AG52" s="109">
        <f t="shared" si="12"/>
        <v>0</v>
      </c>
      <c r="AH52" s="109">
        <f t="shared" si="12"/>
        <v>0</v>
      </c>
      <c r="AI52" s="109">
        <f t="shared" si="12"/>
        <v>0</v>
      </c>
      <c r="AJ52" s="109">
        <f>AM46/AM36</f>
        <v>0</v>
      </c>
      <c r="AL52" s="76"/>
    </row>
    <row r="58" spans="2:42" ht="39">
      <c r="B58" s="7"/>
      <c r="C58" s="7"/>
      <c r="D58" s="7"/>
      <c r="E58" s="17" t="s">
        <v>153</v>
      </c>
      <c r="F58" s="17" t="s">
        <v>152</v>
      </c>
      <c r="G58" s="18" t="s">
        <v>151</v>
      </c>
      <c r="H58" s="19" t="s">
        <v>154</v>
      </c>
      <c r="I58" s="20" t="s">
        <v>155</v>
      </c>
      <c r="J58" s="20" t="s">
        <v>156</v>
      </c>
      <c r="K58" s="21" t="s">
        <v>161</v>
      </c>
      <c r="L58" s="21" t="s">
        <v>162</v>
      </c>
      <c r="M58" s="22" t="s">
        <v>163</v>
      </c>
      <c r="N58" s="22" t="s">
        <v>164</v>
      </c>
    </row>
    <row r="59" spans="2:42" ht="14">
      <c r="B59" s="8" t="s">
        <v>129</v>
      </c>
      <c r="C59" s="9" t="s">
        <v>127</v>
      </c>
      <c r="D59" s="7">
        <v>22.99</v>
      </c>
      <c r="E59" s="7">
        <v>17.5</v>
      </c>
      <c r="F59" s="10">
        <f>D59*E59</f>
        <v>402.32499999999999</v>
      </c>
      <c r="G59" s="7">
        <v>13.5</v>
      </c>
      <c r="H59" s="11">
        <f>D59*G59</f>
        <v>310.36499999999995</v>
      </c>
      <c r="I59" s="7">
        <v>36</v>
      </c>
      <c r="J59" s="10">
        <f t="shared" ref="J59:J73" si="13">I59*D59</f>
        <v>827.64</v>
      </c>
      <c r="K59" s="7">
        <v>154</v>
      </c>
      <c r="L59" s="10">
        <f t="shared" ref="L59:L73" si="14">K59*D59</f>
        <v>3540.4599999999996</v>
      </c>
      <c r="M59" s="7">
        <v>130</v>
      </c>
      <c r="N59" s="10">
        <f t="shared" ref="N59:N73" si="15">M59*D59</f>
        <v>2988.7</v>
      </c>
    </row>
    <row r="60" spans="2:42" ht="14">
      <c r="B60" s="8" t="s">
        <v>130</v>
      </c>
      <c r="C60" s="9" t="s">
        <v>127</v>
      </c>
      <c r="D60" s="7">
        <v>39.1</v>
      </c>
      <c r="E60" s="7">
        <v>10</v>
      </c>
      <c r="F60" s="10">
        <f>D60*E60</f>
        <v>391</v>
      </c>
      <c r="G60" s="7">
        <v>7.5</v>
      </c>
      <c r="H60" s="11">
        <f>D60*G60</f>
        <v>293.25</v>
      </c>
      <c r="I60" s="7">
        <v>28</v>
      </c>
      <c r="J60" s="10">
        <f t="shared" si="13"/>
        <v>1094.8</v>
      </c>
      <c r="K60" s="7">
        <v>0</v>
      </c>
      <c r="L60" s="10">
        <f t="shared" si="14"/>
        <v>0</v>
      </c>
      <c r="M60" s="7">
        <v>4</v>
      </c>
      <c r="N60" s="10">
        <f t="shared" si="15"/>
        <v>156.4</v>
      </c>
    </row>
    <row r="61" spans="2:42" ht="14">
      <c r="B61" s="8" t="s">
        <v>131</v>
      </c>
      <c r="C61" s="9" t="s">
        <v>127</v>
      </c>
      <c r="D61" s="7">
        <v>35.450000000000003</v>
      </c>
      <c r="E61" s="7">
        <v>17.5</v>
      </c>
      <c r="F61" s="10">
        <f>D61*E61</f>
        <v>620.375</v>
      </c>
      <c r="G61" s="7">
        <v>17.7</v>
      </c>
      <c r="H61" s="11">
        <f>D61*G61</f>
        <v>627.46500000000003</v>
      </c>
      <c r="I61" s="7">
        <v>32</v>
      </c>
      <c r="J61" s="10">
        <f t="shared" si="13"/>
        <v>1134.4000000000001</v>
      </c>
      <c r="K61" s="7">
        <v>154</v>
      </c>
      <c r="L61" s="10">
        <f t="shared" si="14"/>
        <v>5459.3</v>
      </c>
      <c r="M61" s="7">
        <v>109</v>
      </c>
      <c r="N61" s="10">
        <f t="shared" si="15"/>
        <v>3864.05</v>
      </c>
    </row>
    <row r="62" spans="2:42" ht="14">
      <c r="B62" s="8" t="s">
        <v>132</v>
      </c>
      <c r="C62" s="9" t="s">
        <v>127</v>
      </c>
      <c r="D62" s="7">
        <v>40.08</v>
      </c>
      <c r="E62" s="7">
        <v>2.5</v>
      </c>
      <c r="F62" s="10">
        <f>D62*E62</f>
        <v>100.19999999999999</v>
      </c>
      <c r="G62" s="7">
        <v>0</v>
      </c>
      <c r="H62" s="11">
        <f>D62*G62</f>
        <v>0</v>
      </c>
      <c r="I62" s="7">
        <v>2.2999999999999998</v>
      </c>
      <c r="J62" s="10">
        <f t="shared" si="13"/>
        <v>92.183999999999983</v>
      </c>
      <c r="K62" s="7">
        <v>0</v>
      </c>
      <c r="L62" s="10">
        <f t="shared" si="14"/>
        <v>0</v>
      </c>
      <c r="M62" s="7">
        <v>1.5</v>
      </c>
      <c r="N62" s="10">
        <f t="shared" si="15"/>
        <v>60.12</v>
      </c>
    </row>
    <row r="63" spans="2:42" ht="14">
      <c r="B63" s="8" t="s">
        <v>133</v>
      </c>
      <c r="C63" s="9" t="s">
        <v>127</v>
      </c>
      <c r="D63" s="7">
        <v>30.97</v>
      </c>
      <c r="E63" s="7">
        <v>10</v>
      </c>
      <c r="F63" s="10">
        <f>D63*E63</f>
        <v>309.7</v>
      </c>
      <c r="G63" s="7">
        <v>2.7</v>
      </c>
      <c r="H63" s="11">
        <f>D63*G63</f>
        <v>83.619</v>
      </c>
      <c r="I63" s="7">
        <v>0</v>
      </c>
      <c r="J63" s="10">
        <f t="shared" si="13"/>
        <v>0</v>
      </c>
      <c r="K63" s="7">
        <v>0</v>
      </c>
      <c r="L63" s="10">
        <f t="shared" si="14"/>
        <v>0</v>
      </c>
      <c r="M63" s="7">
        <v>28</v>
      </c>
      <c r="N63" s="10">
        <f t="shared" si="15"/>
        <v>867.16</v>
      </c>
    </row>
    <row r="64" spans="2:42" ht="14">
      <c r="B64" s="8" t="s">
        <v>134</v>
      </c>
      <c r="C64" s="9" t="s">
        <v>135</v>
      </c>
      <c r="D64" s="7">
        <v>60.052</v>
      </c>
      <c r="E64" s="7"/>
      <c r="F64" s="10"/>
      <c r="G64" s="7"/>
      <c r="H64" s="11"/>
      <c r="I64" s="7">
        <v>96</v>
      </c>
      <c r="J64" s="10">
        <f t="shared" si="13"/>
        <v>5764.9920000000002</v>
      </c>
      <c r="K64" s="7">
        <v>0</v>
      </c>
      <c r="L64" s="10">
        <f t="shared" si="14"/>
        <v>0</v>
      </c>
      <c r="M64" s="7">
        <v>0</v>
      </c>
      <c r="N64" s="10">
        <f t="shared" si="15"/>
        <v>0</v>
      </c>
    </row>
    <row r="65" spans="1:14" ht="14">
      <c r="B65" s="8" t="s">
        <v>136</v>
      </c>
      <c r="C65" s="9" t="s">
        <v>137</v>
      </c>
      <c r="D65" s="7">
        <v>24.31</v>
      </c>
      <c r="E65" s="7">
        <v>1.25</v>
      </c>
      <c r="F65" s="10">
        <f t="shared" ref="F65:F73" si="16">D65*E65</f>
        <v>30.387499999999999</v>
      </c>
      <c r="G65" s="7">
        <v>0.75</v>
      </c>
      <c r="H65" s="11">
        <f t="shared" ref="H65:H73" si="17">D65*G65</f>
        <v>18.232499999999998</v>
      </c>
      <c r="I65" s="7">
        <v>4.5999999999999996</v>
      </c>
      <c r="J65" s="10">
        <f t="shared" si="13"/>
        <v>111.82599999999998</v>
      </c>
      <c r="K65" s="7">
        <v>0</v>
      </c>
      <c r="L65" s="10">
        <f t="shared" si="14"/>
        <v>0</v>
      </c>
      <c r="M65" s="7">
        <v>0</v>
      </c>
      <c r="N65" s="10">
        <f t="shared" si="15"/>
        <v>0</v>
      </c>
    </row>
    <row r="66" spans="1:14" ht="14">
      <c r="B66" s="8" t="s">
        <v>138</v>
      </c>
      <c r="C66" s="9" t="s">
        <v>139</v>
      </c>
      <c r="D66" s="7">
        <v>55.85</v>
      </c>
      <c r="E66" s="7">
        <v>0</v>
      </c>
      <c r="F66" s="10">
        <f t="shared" si="16"/>
        <v>0</v>
      </c>
      <c r="G66" s="7">
        <v>0</v>
      </c>
      <c r="H66" s="11">
        <f t="shared" si="17"/>
        <v>0</v>
      </c>
      <c r="I66" s="7">
        <v>0</v>
      </c>
      <c r="J66" s="10">
        <f t="shared" si="13"/>
        <v>0</v>
      </c>
      <c r="K66" s="7">
        <v>0</v>
      </c>
      <c r="L66" s="10">
        <f t="shared" si="14"/>
        <v>0</v>
      </c>
      <c r="M66" s="7">
        <v>0</v>
      </c>
      <c r="N66" s="10">
        <f t="shared" si="15"/>
        <v>0</v>
      </c>
    </row>
    <row r="67" spans="1:14" ht="14">
      <c r="B67" s="8" t="s">
        <v>140</v>
      </c>
      <c r="C67" s="9" t="s">
        <v>141</v>
      </c>
      <c r="D67" s="7">
        <v>65.39</v>
      </c>
      <c r="E67" s="7">
        <v>2.5000000000000001E-3</v>
      </c>
      <c r="F67" s="12">
        <f t="shared" si="16"/>
        <v>0.16347500000000001</v>
      </c>
      <c r="G67" s="7">
        <v>2.5000000000000001E-3</v>
      </c>
      <c r="H67" s="13">
        <f t="shared" si="17"/>
        <v>0.16347500000000001</v>
      </c>
      <c r="I67" s="7">
        <v>0.03</v>
      </c>
      <c r="J67" s="10">
        <f t="shared" si="13"/>
        <v>1.9617</v>
      </c>
      <c r="K67" s="7">
        <v>0</v>
      </c>
      <c r="L67" s="10">
        <f t="shared" si="14"/>
        <v>0</v>
      </c>
      <c r="M67" s="7">
        <v>0</v>
      </c>
      <c r="N67" s="10">
        <f t="shared" si="15"/>
        <v>0</v>
      </c>
    </row>
    <row r="68" spans="1:14" ht="14">
      <c r="B68" s="14" t="s">
        <v>142</v>
      </c>
      <c r="C68" s="15" t="s">
        <v>128</v>
      </c>
      <c r="D68" s="7">
        <v>63.55</v>
      </c>
      <c r="E68" s="7">
        <v>0</v>
      </c>
      <c r="F68" s="10">
        <f t="shared" si="16"/>
        <v>0</v>
      </c>
      <c r="G68" s="7">
        <v>0</v>
      </c>
      <c r="H68" s="11">
        <f t="shared" si="17"/>
        <v>0</v>
      </c>
      <c r="I68" s="7">
        <v>0</v>
      </c>
      <c r="J68" s="10">
        <f t="shared" si="13"/>
        <v>0</v>
      </c>
      <c r="K68" s="7">
        <v>0</v>
      </c>
      <c r="L68" s="10">
        <f t="shared" si="14"/>
        <v>0</v>
      </c>
      <c r="M68" s="7">
        <v>0</v>
      </c>
      <c r="N68" s="10">
        <f t="shared" si="15"/>
        <v>0</v>
      </c>
    </row>
    <row r="69" spans="1:14" ht="14">
      <c r="B69" s="14" t="s">
        <v>143</v>
      </c>
      <c r="C69" s="15" t="s">
        <v>141</v>
      </c>
      <c r="D69" s="7">
        <v>24.31</v>
      </c>
      <c r="E69" s="7">
        <v>0</v>
      </c>
      <c r="F69" s="10">
        <f t="shared" si="16"/>
        <v>0</v>
      </c>
      <c r="G69" s="7">
        <v>0</v>
      </c>
      <c r="H69" s="11">
        <f t="shared" si="17"/>
        <v>0</v>
      </c>
      <c r="I69" s="7">
        <v>4.5999999999999996</v>
      </c>
      <c r="J69" s="10">
        <f t="shared" si="13"/>
        <v>111.82599999999998</v>
      </c>
      <c r="K69" s="7">
        <v>0</v>
      </c>
      <c r="L69" s="10">
        <f t="shared" si="14"/>
        <v>0</v>
      </c>
      <c r="M69" s="7">
        <v>0</v>
      </c>
      <c r="N69" s="10">
        <f t="shared" si="15"/>
        <v>0</v>
      </c>
    </row>
    <row r="70" spans="1:14" ht="14">
      <c r="B70" s="8" t="s">
        <v>144</v>
      </c>
      <c r="C70" s="9" t="s">
        <v>145</v>
      </c>
      <c r="D70" s="7">
        <v>126.9</v>
      </c>
      <c r="E70" s="7">
        <v>0</v>
      </c>
      <c r="F70" s="10">
        <f t="shared" si="16"/>
        <v>0</v>
      </c>
      <c r="G70" s="7">
        <v>0</v>
      </c>
      <c r="H70" s="11">
        <f t="shared" si="17"/>
        <v>0</v>
      </c>
      <c r="I70" s="7">
        <v>0</v>
      </c>
      <c r="J70" s="10">
        <f t="shared" si="13"/>
        <v>0</v>
      </c>
      <c r="K70" s="7">
        <v>0</v>
      </c>
      <c r="L70" s="10">
        <f t="shared" si="14"/>
        <v>0</v>
      </c>
      <c r="M70" s="7">
        <v>0</v>
      </c>
      <c r="N70" s="10">
        <f t="shared" si="15"/>
        <v>0</v>
      </c>
    </row>
    <row r="71" spans="1:14" ht="14">
      <c r="B71" s="8" t="s">
        <v>146</v>
      </c>
      <c r="C71" s="9" t="s">
        <v>147</v>
      </c>
      <c r="D71" s="7">
        <v>78.959999999999994</v>
      </c>
      <c r="E71" s="7">
        <v>0</v>
      </c>
      <c r="F71" s="10">
        <f t="shared" si="16"/>
        <v>0</v>
      </c>
      <c r="G71" s="7">
        <v>0</v>
      </c>
      <c r="H71" s="11">
        <f t="shared" si="17"/>
        <v>0</v>
      </c>
      <c r="I71" s="7">
        <v>0</v>
      </c>
      <c r="J71" s="10">
        <f t="shared" si="13"/>
        <v>0</v>
      </c>
      <c r="K71" s="7">
        <v>0</v>
      </c>
      <c r="L71" s="10">
        <f t="shared" si="14"/>
        <v>0</v>
      </c>
      <c r="M71" s="7">
        <v>0</v>
      </c>
      <c r="N71" s="10">
        <f t="shared" si="15"/>
        <v>0</v>
      </c>
    </row>
    <row r="72" spans="1:14" ht="14">
      <c r="B72" s="14" t="s">
        <v>148</v>
      </c>
      <c r="C72" s="15" t="s">
        <v>149</v>
      </c>
      <c r="D72" s="7">
        <v>52</v>
      </c>
      <c r="E72" s="7">
        <v>0</v>
      </c>
      <c r="F72" s="10">
        <f t="shared" si="16"/>
        <v>0</v>
      </c>
      <c r="G72" s="7">
        <v>0</v>
      </c>
      <c r="H72" s="11">
        <f t="shared" si="17"/>
        <v>0</v>
      </c>
      <c r="I72" s="7">
        <v>0</v>
      </c>
      <c r="J72" s="10">
        <f t="shared" si="13"/>
        <v>0</v>
      </c>
      <c r="K72" s="7">
        <v>0</v>
      </c>
      <c r="L72" s="10">
        <f t="shared" si="14"/>
        <v>0</v>
      </c>
      <c r="M72" s="7">
        <v>0</v>
      </c>
      <c r="N72" s="10">
        <f t="shared" si="15"/>
        <v>0</v>
      </c>
    </row>
    <row r="73" spans="1:14" ht="14">
      <c r="B73" s="14" t="s">
        <v>150</v>
      </c>
      <c r="C73" s="15" t="s">
        <v>145</v>
      </c>
      <c r="D73" s="7">
        <v>95.94</v>
      </c>
      <c r="E73" s="7">
        <v>0</v>
      </c>
      <c r="F73" s="10">
        <f t="shared" si="16"/>
        <v>0</v>
      </c>
      <c r="G73" s="7">
        <v>0</v>
      </c>
      <c r="H73" s="11">
        <f t="shared" si="17"/>
        <v>0</v>
      </c>
      <c r="I73" s="7">
        <v>0</v>
      </c>
      <c r="J73" s="10">
        <f t="shared" si="13"/>
        <v>0</v>
      </c>
      <c r="K73" s="7">
        <v>0</v>
      </c>
      <c r="L73" s="10">
        <f t="shared" si="14"/>
        <v>0</v>
      </c>
      <c r="M73" s="7">
        <v>0</v>
      </c>
      <c r="N73" s="10">
        <f t="shared" si="15"/>
        <v>0</v>
      </c>
    </row>
    <row r="79" spans="1:14">
      <c r="A79" s="41"/>
    </row>
    <row r="80" spans="1:14">
      <c r="A80" s="41" t="s">
        <v>112</v>
      </c>
    </row>
    <row r="81" spans="1:1">
      <c r="A81" s="41" t="s">
        <v>215</v>
      </c>
    </row>
    <row r="82" spans="1:1">
      <c r="A82" s="7" t="s">
        <v>216</v>
      </c>
    </row>
    <row r="83" spans="1:1">
      <c r="A83" s="2" t="s">
        <v>212</v>
      </c>
    </row>
    <row r="84" spans="1:1">
      <c r="A84" s="2" t="s">
        <v>213</v>
      </c>
    </row>
    <row r="87" spans="1:1">
      <c r="A87" s="2" t="s">
        <v>84</v>
      </c>
    </row>
    <row r="88" spans="1:1">
      <c r="A88" s="2" t="s">
        <v>113</v>
      </c>
    </row>
    <row r="89" spans="1:1">
      <c r="A89" s="2" t="s">
        <v>110</v>
      </c>
    </row>
    <row r="91" spans="1:1">
      <c r="A91" s="2">
        <v>1</v>
      </c>
    </row>
    <row r="92" spans="1:1">
      <c r="A92" s="2">
        <v>2</v>
      </c>
    </row>
    <row r="93" spans="1:1">
      <c r="A93" s="2">
        <v>3</v>
      </c>
    </row>
    <row r="94" spans="1:1">
      <c r="A94" s="2">
        <v>4</v>
      </c>
    </row>
    <row r="95" spans="1:1">
      <c r="A95" s="2">
        <v>5</v>
      </c>
    </row>
    <row r="96" spans="1:1">
      <c r="A96" s="2">
        <v>6</v>
      </c>
    </row>
    <row r="97" spans="1:1">
      <c r="A97" s="2">
        <v>7</v>
      </c>
    </row>
    <row r="98" spans="1:1">
      <c r="A98" s="2">
        <v>8</v>
      </c>
    </row>
    <row r="99" spans="1:1">
      <c r="A99" s="2">
        <v>9</v>
      </c>
    </row>
    <row r="100" spans="1:1">
      <c r="A100" s="2">
        <v>10</v>
      </c>
    </row>
    <row r="101" spans="1:1">
      <c r="A101" s="2">
        <v>11</v>
      </c>
    </row>
    <row r="102" spans="1:1">
      <c r="A102" s="2">
        <v>12</v>
      </c>
    </row>
    <row r="103" spans="1:1">
      <c r="A103" s="2">
        <v>13</v>
      </c>
    </row>
    <row r="104" spans="1:1">
      <c r="A104" s="2">
        <v>14</v>
      </c>
    </row>
    <row r="105" spans="1:1">
      <c r="A105" s="2">
        <v>15</v>
      </c>
    </row>
    <row r="106" spans="1:1">
      <c r="A106" s="2">
        <v>16</v>
      </c>
    </row>
    <row r="107" spans="1:1">
      <c r="A107" s="2">
        <v>17</v>
      </c>
    </row>
    <row r="108" spans="1:1">
      <c r="A108" s="2">
        <v>18</v>
      </c>
    </row>
    <row r="109" spans="1:1">
      <c r="A109" s="2">
        <v>19</v>
      </c>
    </row>
    <row r="110" spans="1:1">
      <c r="A110" s="2">
        <v>20</v>
      </c>
    </row>
    <row r="111" spans="1:1">
      <c r="A111" s="2">
        <v>21</v>
      </c>
    </row>
    <row r="112" spans="1:1">
      <c r="A112" s="2">
        <v>22</v>
      </c>
    </row>
    <row r="113" spans="1:1">
      <c r="A113" s="2">
        <v>23</v>
      </c>
    </row>
    <row r="114" spans="1:1">
      <c r="A114" s="2">
        <v>24</v>
      </c>
    </row>
    <row r="115" spans="1:1">
      <c r="A115" s="2">
        <v>25</v>
      </c>
    </row>
    <row r="116" spans="1:1">
      <c r="A116" s="2">
        <v>26</v>
      </c>
    </row>
    <row r="117" spans="1:1">
      <c r="A117" s="2">
        <v>27</v>
      </c>
    </row>
    <row r="118" spans="1:1">
      <c r="A118" s="2">
        <v>28</v>
      </c>
    </row>
    <row r="119" spans="1:1">
      <c r="A119" s="2">
        <v>29</v>
      </c>
    </row>
    <row r="120" spans="1:1">
      <c r="A120" s="2">
        <v>30</v>
      </c>
    </row>
  </sheetData>
  <mergeCells count="7">
    <mergeCell ref="AT1:AU1"/>
    <mergeCell ref="A42:A43"/>
    <mergeCell ref="A44:A45"/>
    <mergeCell ref="Z1:AA1"/>
    <mergeCell ref="AE1:AI1"/>
    <mergeCell ref="AR1:AS1"/>
    <mergeCell ref="AN1:AP1"/>
  </mergeCells>
  <phoneticPr fontId="3"/>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zoomScale="70" zoomScaleNormal="70" workbookViewId="0">
      <selection activeCell="B57" sqref="B57"/>
    </sheetView>
  </sheetViews>
  <sheetFormatPr defaultRowHeight="14"/>
  <cols>
    <col min="1" max="1" width="31.7265625" style="38" bestFit="1" customWidth="1"/>
    <col min="2" max="2" width="73.90625" style="38" customWidth="1"/>
    <col min="3" max="16384" width="8.7265625" style="38"/>
  </cols>
  <sheetData>
    <row r="1" spans="1:2" s="153" customFormat="1">
      <c r="A1" s="153" t="s">
        <v>327</v>
      </c>
      <c r="B1" s="153">
        <v>2</v>
      </c>
    </row>
    <row r="2" spans="1:2" ht="28">
      <c r="A2" s="151" t="s">
        <v>112</v>
      </c>
      <c r="B2" s="150" t="s">
        <v>323</v>
      </c>
    </row>
    <row r="3" spans="1:2" ht="28">
      <c r="A3" s="151" t="s">
        <v>306</v>
      </c>
      <c r="B3" s="150" t="s">
        <v>324</v>
      </c>
    </row>
    <row r="4" spans="1:2" ht="28">
      <c r="A4" s="151" t="s">
        <v>215</v>
      </c>
      <c r="B4" s="150" t="s">
        <v>322</v>
      </c>
    </row>
    <row r="5" spans="1:2" ht="28">
      <c r="A5" s="151" t="s">
        <v>319</v>
      </c>
      <c r="B5" s="150" t="s">
        <v>325</v>
      </c>
    </row>
    <row r="6" spans="1:2" ht="28">
      <c r="A6" s="151" t="s">
        <v>320</v>
      </c>
      <c r="B6" s="150" t="s">
        <v>326</v>
      </c>
    </row>
    <row r="7" spans="1:2">
      <c r="A7" s="151" t="s">
        <v>216</v>
      </c>
      <c r="B7" s="151"/>
    </row>
    <row r="11" spans="1:2" ht="56">
      <c r="A11" s="157" t="s">
        <v>84</v>
      </c>
      <c r="B11" s="150" t="s">
        <v>342</v>
      </c>
    </row>
    <row r="12" spans="1:2" ht="28">
      <c r="A12" s="157" t="s">
        <v>272</v>
      </c>
      <c r="B12" s="150" t="s">
        <v>339</v>
      </c>
    </row>
    <row r="13" spans="1:2" ht="28">
      <c r="A13" s="157" t="s">
        <v>273</v>
      </c>
      <c r="B13" s="150" t="s">
        <v>340</v>
      </c>
    </row>
    <row r="14" spans="1:2" ht="28">
      <c r="A14" s="157" t="s">
        <v>274</v>
      </c>
      <c r="B14" s="150" t="s">
        <v>341</v>
      </c>
    </row>
    <row r="15" spans="1:2" ht="42">
      <c r="A15" s="158" t="s">
        <v>113</v>
      </c>
      <c r="B15" s="150" t="s">
        <v>343</v>
      </c>
    </row>
    <row r="19" spans="1:2" s="154" customFormat="1">
      <c r="A19" s="154" t="s">
        <v>328</v>
      </c>
    </row>
    <row r="20" spans="1:2" ht="112">
      <c r="A20" s="151" t="s">
        <v>112</v>
      </c>
      <c r="B20" s="150" t="s">
        <v>338</v>
      </c>
    </row>
    <row r="21" spans="1:2" ht="112">
      <c r="A21" s="151" t="s">
        <v>306</v>
      </c>
      <c r="B21" s="150" t="s">
        <v>338</v>
      </c>
    </row>
    <row r="22" spans="1:2" ht="126">
      <c r="A22" s="151" t="s">
        <v>215</v>
      </c>
      <c r="B22" s="150" t="s">
        <v>329</v>
      </c>
    </row>
    <row r="23" spans="1:2" ht="56">
      <c r="A23" s="151" t="s">
        <v>319</v>
      </c>
      <c r="B23" s="150" t="s">
        <v>330</v>
      </c>
    </row>
    <row r="24" spans="1:2" ht="98">
      <c r="A24" s="151" t="s">
        <v>320</v>
      </c>
      <c r="B24" s="150" t="s">
        <v>331</v>
      </c>
    </row>
    <row r="28" spans="1:2">
      <c r="A28" s="157" t="s">
        <v>84</v>
      </c>
      <c r="B28" s="150"/>
    </row>
    <row r="29" spans="1:2">
      <c r="A29" s="157" t="s">
        <v>272</v>
      </c>
      <c r="B29" s="150"/>
    </row>
    <row r="30" spans="1:2">
      <c r="A30" s="157" t="s">
        <v>273</v>
      </c>
      <c r="B30" s="150"/>
    </row>
    <row r="31" spans="1:2">
      <c r="A31" s="157" t="s">
        <v>274</v>
      </c>
      <c r="B31" s="150"/>
    </row>
    <row r="32" spans="1:2">
      <c r="A32" s="158" t="s">
        <v>113</v>
      </c>
      <c r="B32" s="150"/>
    </row>
    <row r="35" spans="1:2" s="155" customFormat="1">
      <c r="A35" s="155" t="s">
        <v>332</v>
      </c>
    </row>
    <row r="36" spans="1:2" ht="84">
      <c r="A36" s="151" t="s">
        <v>112</v>
      </c>
      <c r="B36" s="150" t="s">
        <v>333</v>
      </c>
    </row>
    <row r="37" spans="1:2" ht="84">
      <c r="A37" s="151" t="s">
        <v>306</v>
      </c>
      <c r="B37" s="150" t="s">
        <v>334</v>
      </c>
    </row>
    <row r="38" spans="1:2" ht="182">
      <c r="A38" s="151" t="s">
        <v>215</v>
      </c>
      <c r="B38" s="150" t="s">
        <v>335</v>
      </c>
    </row>
    <row r="39" spans="1:2" ht="126">
      <c r="A39" s="151" t="s">
        <v>319</v>
      </c>
      <c r="B39" s="150" t="s">
        <v>336</v>
      </c>
    </row>
    <row r="40" spans="1:2" ht="112">
      <c r="A40" s="151" t="s">
        <v>320</v>
      </c>
      <c r="B40" s="150" t="s">
        <v>337</v>
      </c>
    </row>
    <row r="44" spans="1:2">
      <c r="A44" s="157" t="s">
        <v>84</v>
      </c>
      <c r="B44" s="150"/>
    </row>
    <row r="45" spans="1:2">
      <c r="A45" s="157" t="s">
        <v>272</v>
      </c>
      <c r="B45" s="150"/>
    </row>
    <row r="46" spans="1:2">
      <c r="A46" s="157" t="s">
        <v>273</v>
      </c>
      <c r="B46" s="150"/>
    </row>
    <row r="47" spans="1:2">
      <c r="A47" s="157" t="s">
        <v>274</v>
      </c>
      <c r="B47" s="150"/>
    </row>
    <row r="48" spans="1:2">
      <c r="A48" s="158" t="s">
        <v>113</v>
      </c>
      <c r="B48" s="150"/>
    </row>
    <row r="52" spans="1:2" s="156" customFormat="1">
      <c r="A52" s="156" t="s">
        <v>344</v>
      </c>
    </row>
    <row r="53" spans="1:2" ht="126">
      <c r="A53" s="151" t="s">
        <v>112</v>
      </c>
      <c r="B53" s="37" t="s">
        <v>345</v>
      </c>
    </row>
    <row r="54" spans="1:2" ht="126">
      <c r="A54" s="151" t="s">
        <v>306</v>
      </c>
      <c r="B54" s="37" t="s">
        <v>345</v>
      </c>
    </row>
    <row r="55" spans="1:2">
      <c r="A55" s="151" t="s">
        <v>215</v>
      </c>
    </row>
    <row r="56" spans="1:2">
      <c r="A56" s="151" t="s">
        <v>319</v>
      </c>
    </row>
    <row r="57" spans="1:2">
      <c r="A57" s="151" t="s">
        <v>320</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68"/>
  <sheetViews>
    <sheetView tabSelected="1" zoomScale="110" zoomScaleNormal="110" workbookViewId="0">
      <selection activeCell="L46" sqref="L46"/>
    </sheetView>
  </sheetViews>
  <sheetFormatPr defaultRowHeight="14.5"/>
  <cols>
    <col min="1" max="1" width="21.6328125" bestFit="1" customWidth="1"/>
    <col min="2" max="9" width="12.08984375" customWidth="1"/>
  </cols>
  <sheetData>
    <row r="1" spans="1:9" ht="15" thickBot="1"/>
    <row r="2" spans="1:9" ht="20" customHeight="1">
      <c r="A2" s="316" t="s">
        <v>393</v>
      </c>
      <c r="B2" s="280" t="s">
        <v>408</v>
      </c>
      <c r="C2" s="281"/>
      <c r="D2" s="281"/>
      <c r="E2" s="281"/>
      <c r="F2" s="281"/>
      <c r="G2" s="281"/>
      <c r="H2" s="281" t="s">
        <v>409</v>
      </c>
      <c r="I2" s="282"/>
    </row>
    <row r="3" spans="1:9" ht="20" customHeight="1">
      <c r="A3" s="317" t="s">
        <v>394</v>
      </c>
      <c r="B3" s="283" t="s">
        <v>444</v>
      </c>
      <c r="C3" s="286"/>
      <c r="D3" s="286"/>
      <c r="E3" s="286"/>
      <c r="F3" s="286"/>
      <c r="G3" s="286" t="s">
        <v>445</v>
      </c>
      <c r="H3" s="286"/>
      <c r="I3" s="287"/>
    </row>
    <row r="4" spans="1:9" ht="20" customHeight="1">
      <c r="A4" s="317" t="s">
        <v>395</v>
      </c>
      <c r="B4" s="293" t="s">
        <v>396</v>
      </c>
      <c r="C4" s="285"/>
      <c r="D4" s="284" t="s">
        <v>397</v>
      </c>
      <c r="E4" s="286"/>
      <c r="F4" s="286"/>
      <c r="G4" s="286"/>
      <c r="H4" s="286"/>
      <c r="I4" s="287"/>
    </row>
    <row r="5" spans="1:9" ht="20" customHeight="1">
      <c r="A5" s="317" t="s">
        <v>398</v>
      </c>
      <c r="B5" s="293" t="s">
        <v>410</v>
      </c>
      <c r="C5" s="286"/>
      <c r="D5" s="284" t="s">
        <v>411</v>
      </c>
      <c r="E5" s="286"/>
      <c r="F5" s="292" t="s">
        <v>412</v>
      </c>
      <c r="G5" s="286"/>
      <c r="H5" s="332" t="s">
        <v>413</v>
      </c>
      <c r="I5" s="287"/>
    </row>
    <row r="6" spans="1:9" ht="20" customHeight="1">
      <c r="A6" s="317" t="s">
        <v>399</v>
      </c>
      <c r="B6" s="293" t="s">
        <v>400</v>
      </c>
      <c r="C6" s="285"/>
      <c r="D6" s="284" t="s">
        <v>401</v>
      </c>
      <c r="E6" s="285"/>
      <c r="F6" s="284" t="s">
        <v>402</v>
      </c>
      <c r="G6" s="288"/>
      <c r="H6" s="284" t="s">
        <v>403</v>
      </c>
      <c r="I6" s="287"/>
    </row>
    <row r="7" spans="1:9" ht="20" customHeight="1">
      <c r="A7" s="317" t="s">
        <v>415</v>
      </c>
      <c r="B7" s="296" t="s">
        <v>416</v>
      </c>
      <c r="C7" s="285"/>
      <c r="D7" s="284"/>
      <c r="E7" s="285"/>
      <c r="F7" s="288"/>
      <c r="G7" s="288"/>
      <c r="H7" s="288"/>
      <c r="I7" s="287"/>
    </row>
    <row r="8" spans="1:9" ht="20" customHeight="1">
      <c r="A8" s="317" t="s">
        <v>439</v>
      </c>
      <c r="B8" s="296" t="s">
        <v>440</v>
      </c>
      <c r="C8" s="285"/>
      <c r="D8" s="326" t="s">
        <v>441</v>
      </c>
      <c r="E8" s="285"/>
      <c r="F8" s="327" t="s">
        <v>442</v>
      </c>
      <c r="G8" s="288"/>
      <c r="H8" s="327" t="s">
        <v>443</v>
      </c>
      <c r="I8" s="287"/>
    </row>
    <row r="9" spans="1:9" ht="20" customHeight="1">
      <c r="A9" s="317"/>
      <c r="B9" s="283" t="s">
        <v>405</v>
      </c>
      <c r="C9" s="286"/>
      <c r="D9" s="286" t="s">
        <v>406</v>
      </c>
      <c r="F9" s="334" t="s">
        <v>455</v>
      </c>
      <c r="G9" s="334"/>
      <c r="H9" s="332" t="s">
        <v>407</v>
      </c>
      <c r="I9" s="287"/>
    </row>
    <row r="10" spans="1:9" ht="20" customHeight="1" thickBot="1">
      <c r="A10" s="328" t="s">
        <v>428</v>
      </c>
      <c r="B10" s="289" t="s">
        <v>446</v>
      </c>
      <c r="C10" s="290"/>
      <c r="D10" s="290"/>
      <c r="E10" s="290"/>
      <c r="F10" s="290"/>
      <c r="G10" s="290"/>
      <c r="H10" s="290"/>
      <c r="I10" s="291"/>
    </row>
    <row r="11" spans="1:9" ht="8" customHeight="1" thickBot="1"/>
    <row r="12" spans="1:9" ht="20" customHeight="1">
      <c r="A12" s="316" t="s">
        <v>447</v>
      </c>
      <c r="B12" s="281" t="s">
        <v>404</v>
      </c>
      <c r="C12" s="281"/>
      <c r="D12" s="281"/>
      <c r="E12" s="281"/>
      <c r="F12" s="281"/>
      <c r="G12" s="281"/>
      <c r="H12" s="281"/>
      <c r="I12" s="282"/>
    </row>
    <row r="13" spans="1:9" ht="20" customHeight="1">
      <c r="A13" s="317"/>
      <c r="B13" s="286"/>
      <c r="C13" s="286"/>
      <c r="D13" s="286"/>
      <c r="E13" s="286"/>
      <c r="F13" s="286"/>
      <c r="G13" s="286"/>
      <c r="H13" s="286"/>
      <c r="I13" s="287"/>
    </row>
    <row r="14" spans="1:9" ht="20" customHeight="1">
      <c r="A14" s="317"/>
      <c r="B14" s="286"/>
      <c r="C14" s="286"/>
      <c r="D14" s="286"/>
      <c r="E14" s="286"/>
      <c r="F14" s="286"/>
      <c r="G14" s="286"/>
      <c r="H14" s="286"/>
      <c r="I14" s="287"/>
    </row>
    <row r="15" spans="1:9" ht="20" customHeight="1">
      <c r="A15" s="319"/>
      <c r="B15" s="286"/>
      <c r="C15" s="286"/>
      <c r="D15" s="286"/>
      <c r="E15" s="286"/>
      <c r="F15" s="286"/>
      <c r="G15" s="286"/>
      <c r="H15" s="286"/>
      <c r="I15" s="287"/>
    </row>
    <row r="16" spans="1:9" ht="20" customHeight="1" thickBot="1">
      <c r="A16" s="318"/>
      <c r="B16" s="290"/>
      <c r="C16" s="290"/>
      <c r="D16" s="290"/>
      <c r="E16" s="290"/>
      <c r="F16" s="290"/>
      <c r="G16" s="290"/>
      <c r="H16" s="290"/>
      <c r="I16" s="291"/>
    </row>
    <row r="17" spans="1:10" s="286" customFormat="1" ht="8" customHeight="1" thickBot="1">
      <c r="A17" s="329"/>
    </row>
    <row r="18" spans="1:10" ht="20" customHeight="1">
      <c r="A18" s="316" t="s">
        <v>448</v>
      </c>
      <c r="B18" s="281" t="s">
        <v>404</v>
      </c>
      <c r="C18" s="281"/>
      <c r="D18" s="281"/>
      <c r="E18" s="281"/>
      <c r="F18" s="281"/>
      <c r="G18" s="281"/>
      <c r="H18" s="281"/>
      <c r="I18" s="282"/>
    </row>
    <row r="19" spans="1:10" ht="20" customHeight="1">
      <c r="A19" s="317"/>
      <c r="B19" s="286"/>
      <c r="C19" s="286"/>
      <c r="D19" s="286"/>
      <c r="E19" s="286"/>
      <c r="F19" s="286"/>
      <c r="G19" s="286"/>
      <c r="H19" s="286"/>
      <c r="I19" s="287"/>
    </row>
    <row r="20" spans="1:10" ht="20" customHeight="1">
      <c r="A20" s="317"/>
      <c r="B20" s="286"/>
      <c r="C20" s="286"/>
      <c r="D20" s="286"/>
      <c r="E20" s="286"/>
      <c r="F20" s="286"/>
      <c r="G20" s="286"/>
      <c r="H20" s="286"/>
      <c r="I20" s="287"/>
    </row>
    <row r="21" spans="1:10" ht="20" customHeight="1">
      <c r="A21" s="319"/>
      <c r="B21" s="286"/>
      <c r="C21" s="286"/>
      <c r="D21" s="286"/>
      <c r="E21" s="286"/>
      <c r="F21" s="286"/>
      <c r="G21" s="286"/>
      <c r="H21" s="286"/>
      <c r="I21" s="287"/>
    </row>
    <row r="22" spans="1:10" ht="20" customHeight="1" thickBot="1">
      <c r="A22" s="318"/>
      <c r="B22" s="290"/>
      <c r="C22" s="290"/>
      <c r="D22" s="290"/>
      <c r="E22" s="290"/>
      <c r="F22" s="290"/>
      <c r="G22" s="290"/>
      <c r="H22" s="290"/>
      <c r="I22" s="291"/>
    </row>
    <row r="23" spans="1:10" s="286" customFormat="1" ht="8" customHeight="1" thickBot="1">
      <c r="A23" s="329"/>
    </row>
    <row r="24" spans="1:10" ht="20" customHeight="1">
      <c r="A24" s="316" t="s">
        <v>454</v>
      </c>
      <c r="B24" s="281"/>
      <c r="C24" s="281"/>
      <c r="D24" s="281"/>
      <c r="E24" s="281"/>
      <c r="F24" s="281"/>
      <c r="G24" s="281"/>
      <c r="H24" s="281"/>
      <c r="I24" s="282"/>
    </row>
    <row r="25" spans="1:10" ht="20" customHeight="1">
      <c r="A25" s="319"/>
      <c r="B25" s="286"/>
      <c r="C25" s="286"/>
      <c r="D25" s="286"/>
      <c r="E25" s="286"/>
      <c r="F25" s="286"/>
      <c r="G25" s="286"/>
      <c r="H25" s="286"/>
      <c r="I25" s="287"/>
    </row>
    <row r="26" spans="1:10" ht="20" customHeight="1" thickBot="1">
      <c r="A26" s="318"/>
      <c r="B26" s="290"/>
      <c r="C26" s="290"/>
      <c r="D26" s="290"/>
      <c r="E26" s="290"/>
      <c r="F26" s="290"/>
      <c r="G26" s="290"/>
      <c r="H26" s="290"/>
      <c r="I26" s="291"/>
    </row>
    <row r="27" spans="1:10" ht="8" customHeight="1" thickBot="1">
      <c r="A27" s="329"/>
      <c r="B27" s="286"/>
      <c r="C27" s="286"/>
      <c r="D27" s="286"/>
      <c r="E27" s="286"/>
      <c r="F27" s="286"/>
      <c r="G27" s="286"/>
      <c r="H27" s="286"/>
      <c r="I27" s="286"/>
    </row>
    <row r="28" spans="1:10" ht="20" customHeight="1" thickBot="1">
      <c r="A28" s="320" t="s">
        <v>417</v>
      </c>
      <c r="B28" s="311" t="s">
        <v>404</v>
      </c>
      <c r="C28" s="309" t="s">
        <v>404</v>
      </c>
      <c r="D28" s="309" t="s">
        <v>404</v>
      </c>
      <c r="E28" s="309" t="s">
        <v>404</v>
      </c>
      <c r="F28" s="309" t="s">
        <v>404</v>
      </c>
      <c r="G28" s="309" t="s">
        <v>404</v>
      </c>
      <c r="H28" s="309" t="s">
        <v>404</v>
      </c>
      <c r="I28" s="310" t="s">
        <v>404</v>
      </c>
      <c r="J28" s="315"/>
    </row>
    <row r="29" spans="1:10" ht="20" customHeight="1">
      <c r="A29" s="339" t="s">
        <v>418</v>
      </c>
      <c r="B29" s="312"/>
      <c r="C29" s="307"/>
      <c r="D29" s="307"/>
      <c r="E29" s="307"/>
      <c r="F29" s="307"/>
      <c r="G29" s="307"/>
      <c r="H29" s="307"/>
      <c r="I29" s="308"/>
      <c r="J29" s="333" t="s">
        <v>427</v>
      </c>
    </row>
    <row r="30" spans="1:10" ht="20" customHeight="1">
      <c r="A30" s="321" t="s">
        <v>449</v>
      </c>
      <c r="B30" s="312"/>
      <c r="C30" s="307"/>
      <c r="D30" s="307"/>
      <c r="E30" s="307"/>
      <c r="F30" s="307"/>
      <c r="G30" s="307"/>
      <c r="H30" s="307"/>
      <c r="I30" s="308"/>
      <c r="J30" s="333" t="s">
        <v>427</v>
      </c>
    </row>
    <row r="31" spans="1:10" ht="20" customHeight="1">
      <c r="A31" s="322" t="s">
        <v>419</v>
      </c>
      <c r="B31" s="313"/>
      <c r="C31" s="303"/>
      <c r="D31" s="303"/>
      <c r="E31" s="303"/>
      <c r="F31" s="303"/>
      <c r="G31" s="303"/>
      <c r="H31" s="303"/>
      <c r="I31" s="304"/>
      <c r="J31" s="333" t="s">
        <v>427</v>
      </c>
    </row>
    <row r="32" spans="1:10" ht="20" customHeight="1">
      <c r="A32" s="322" t="s">
        <v>420</v>
      </c>
      <c r="B32" s="313"/>
      <c r="C32" s="303"/>
      <c r="D32" s="303"/>
      <c r="E32" s="303"/>
      <c r="F32" s="303"/>
      <c r="G32" s="303"/>
      <c r="H32" s="303"/>
      <c r="I32" s="304"/>
      <c r="J32" s="333" t="s">
        <v>427</v>
      </c>
    </row>
    <row r="33" spans="1:10" ht="20" customHeight="1">
      <c r="A33" s="322" t="s">
        <v>421</v>
      </c>
      <c r="B33" s="313"/>
      <c r="C33" s="303"/>
      <c r="D33" s="303"/>
      <c r="E33" s="303"/>
      <c r="F33" s="303"/>
      <c r="G33" s="303"/>
      <c r="H33" s="303"/>
      <c r="I33" s="304"/>
      <c r="J33" s="333" t="s">
        <v>427</v>
      </c>
    </row>
    <row r="34" spans="1:10" ht="20" customHeight="1">
      <c r="A34" s="322" t="s">
        <v>422</v>
      </c>
      <c r="B34" s="313"/>
      <c r="C34" s="303"/>
      <c r="D34" s="303"/>
      <c r="E34" s="303"/>
      <c r="F34" s="303"/>
      <c r="G34" s="303"/>
      <c r="H34" s="303"/>
      <c r="I34" s="304"/>
      <c r="J34" s="333" t="s">
        <v>427</v>
      </c>
    </row>
    <row r="35" spans="1:10" ht="20" customHeight="1">
      <c r="A35" s="322" t="s">
        <v>423</v>
      </c>
      <c r="B35" s="313"/>
      <c r="C35" s="303"/>
      <c r="D35" s="303"/>
      <c r="E35" s="303"/>
      <c r="F35" s="303"/>
      <c r="G35" s="303"/>
      <c r="H35" s="303"/>
      <c r="I35" s="304"/>
      <c r="J35" s="333" t="s">
        <v>427</v>
      </c>
    </row>
    <row r="36" spans="1:10" ht="20" customHeight="1">
      <c r="A36" s="322" t="s">
        <v>450</v>
      </c>
      <c r="B36" s="313"/>
      <c r="C36" s="303"/>
      <c r="D36" s="303"/>
      <c r="E36" s="303"/>
      <c r="F36" s="303"/>
      <c r="G36" s="303"/>
      <c r="H36" s="303"/>
      <c r="I36" s="304"/>
      <c r="J36" s="333" t="s">
        <v>427</v>
      </c>
    </row>
    <row r="37" spans="1:10" ht="20" customHeight="1">
      <c r="A37" s="322" t="s">
        <v>438</v>
      </c>
      <c r="B37" s="313"/>
      <c r="C37" s="303"/>
      <c r="D37" s="303"/>
      <c r="E37" s="303"/>
      <c r="F37" s="303"/>
      <c r="G37" s="303"/>
      <c r="H37" s="303"/>
      <c r="I37" s="304"/>
      <c r="J37" s="333" t="s">
        <v>427</v>
      </c>
    </row>
    <row r="38" spans="1:10" ht="20" customHeight="1">
      <c r="A38" s="322" t="s">
        <v>425</v>
      </c>
      <c r="B38" s="313"/>
      <c r="C38" s="303"/>
      <c r="D38" s="303"/>
      <c r="E38" s="303"/>
      <c r="F38" s="303"/>
      <c r="G38" s="303"/>
      <c r="H38" s="303"/>
      <c r="I38" s="304"/>
      <c r="J38" s="333" t="s">
        <v>427</v>
      </c>
    </row>
    <row r="39" spans="1:10" ht="20" customHeight="1">
      <c r="A39" s="322" t="s">
        <v>424</v>
      </c>
      <c r="B39" s="313"/>
      <c r="C39" s="303"/>
      <c r="D39" s="303"/>
      <c r="E39" s="303"/>
      <c r="F39" s="303"/>
      <c r="G39" s="303"/>
      <c r="H39" s="303"/>
      <c r="I39" s="304"/>
      <c r="J39" s="333" t="s">
        <v>427</v>
      </c>
    </row>
    <row r="40" spans="1:10" ht="20" customHeight="1" thickBot="1">
      <c r="A40" s="335" t="s">
        <v>426</v>
      </c>
      <c r="B40" s="336"/>
      <c r="C40" s="337"/>
      <c r="D40" s="337"/>
      <c r="E40" s="337"/>
      <c r="F40" s="337"/>
      <c r="G40" s="337"/>
      <c r="H40" s="337"/>
      <c r="I40" s="338"/>
      <c r="J40" s="333"/>
    </row>
    <row r="41" spans="1:10" ht="20" customHeight="1" thickBot="1">
      <c r="A41" s="322" t="s">
        <v>457</v>
      </c>
      <c r="B41" s="298"/>
      <c r="C41" s="341"/>
      <c r="D41" s="336"/>
      <c r="E41" s="337"/>
      <c r="F41" s="337"/>
      <c r="G41" s="337"/>
      <c r="H41" s="337"/>
      <c r="I41" s="338"/>
      <c r="J41" s="333"/>
    </row>
    <row r="42" spans="1:10" ht="20" customHeight="1">
      <c r="A42" s="322"/>
      <c r="B42" s="336"/>
      <c r="C42" s="340"/>
      <c r="D42" s="337"/>
      <c r="E42" s="337"/>
      <c r="F42" s="337"/>
      <c r="G42" s="337"/>
      <c r="H42" s="337"/>
      <c r="I42" s="338"/>
      <c r="J42" s="333"/>
    </row>
    <row r="43" spans="1:10" ht="20" customHeight="1">
      <c r="A43" s="322"/>
      <c r="B43" s="336"/>
      <c r="C43" s="337"/>
      <c r="D43" s="337"/>
      <c r="E43" s="337"/>
      <c r="F43" s="337"/>
      <c r="G43" s="337"/>
      <c r="H43" s="337"/>
      <c r="I43" s="338"/>
      <c r="J43" s="333"/>
    </row>
    <row r="44" spans="1:10" ht="20" customHeight="1">
      <c r="A44" s="322"/>
      <c r="B44" s="336"/>
      <c r="C44" s="337"/>
      <c r="D44" s="337"/>
      <c r="E44" s="337"/>
      <c r="F44" s="337"/>
      <c r="G44" s="337"/>
      <c r="H44" s="337"/>
      <c r="I44" s="338"/>
      <c r="J44" s="333"/>
    </row>
    <row r="45" spans="1:10" ht="20" customHeight="1">
      <c r="A45" s="322"/>
      <c r="B45" s="336"/>
      <c r="C45" s="337"/>
      <c r="D45" s="337"/>
      <c r="E45" s="337"/>
      <c r="F45" s="337"/>
      <c r="G45" s="337"/>
      <c r="H45" s="337"/>
      <c r="I45" s="338"/>
      <c r="J45" s="333"/>
    </row>
    <row r="46" spans="1:10" ht="20" customHeight="1" thickBot="1">
      <c r="A46" s="318"/>
      <c r="B46" s="314"/>
      <c r="C46" s="305"/>
      <c r="D46" s="305"/>
      <c r="E46" s="305"/>
      <c r="F46" s="305"/>
      <c r="G46" s="305"/>
      <c r="H46" s="305"/>
      <c r="I46" s="306"/>
      <c r="J46" s="333" t="s">
        <v>427</v>
      </c>
    </row>
    <row r="47" spans="1:10" ht="8" customHeight="1" thickBot="1"/>
    <row r="48" spans="1:10" ht="20" customHeight="1">
      <c r="A48" s="316" t="s">
        <v>414</v>
      </c>
      <c r="B48" s="281"/>
      <c r="C48" s="281"/>
      <c r="D48" s="281"/>
      <c r="E48" s="281"/>
      <c r="F48" s="281"/>
      <c r="G48" s="281"/>
      <c r="H48" s="281"/>
      <c r="I48" s="282"/>
    </row>
    <row r="49" spans="1:10" ht="20" customHeight="1">
      <c r="A49" s="319"/>
      <c r="B49" s="297"/>
      <c r="C49" s="298"/>
      <c r="D49" s="298"/>
      <c r="E49" s="298"/>
      <c r="F49" s="298"/>
      <c r="G49" s="298"/>
      <c r="H49" s="298"/>
      <c r="I49" s="299"/>
    </row>
    <row r="50" spans="1:10" ht="20" customHeight="1" thickBot="1">
      <c r="A50" s="318"/>
      <c r="B50" s="300"/>
      <c r="C50" s="301"/>
      <c r="D50" s="301"/>
      <c r="E50" s="301"/>
      <c r="F50" s="301"/>
      <c r="G50" s="301"/>
      <c r="H50" s="301"/>
      <c r="I50" s="302"/>
    </row>
    <row r="51" spans="1:10" ht="8" customHeight="1" thickBot="1">
      <c r="J51" s="315"/>
    </row>
    <row r="52" spans="1:10" ht="20" customHeight="1" thickBot="1">
      <c r="A52" s="324" t="s">
        <v>429</v>
      </c>
      <c r="B52" s="311" t="s">
        <v>404</v>
      </c>
      <c r="C52" s="309" t="s">
        <v>404</v>
      </c>
      <c r="D52" s="309" t="s">
        <v>404</v>
      </c>
      <c r="E52" s="309" t="s">
        <v>404</v>
      </c>
      <c r="F52" s="309" t="s">
        <v>404</v>
      </c>
      <c r="G52" s="309" t="s">
        <v>404</v>
      </c>
      <c r="H52" s="309" t="s">
        <v>404</v>
      </c>
      <c r="I52" s="310" t="s">
        <v>404</v>
      </c>
      <c r="J52" s="315"/>
    </row>
    <row r="53" spans="1:10" ht="20" customHeight="1">
      <c r="A53" s="321" t="s">
        <v>430</v>
      </c>
      <c r="B53" s="312"/>
      <c r="C53" s="307"/>
      <c r="D53" s="307"/>
      <c r="E53" s="307"/>
      <c r="F53" s="307"/>
      <c r="G53" s="307"/>
      <c r="H53" s="307"/>
      <c r="I53" s="307"/>
      <c r="J53" s="333" t="s">
        <v>427</v>
      </c>
    </row>
    <row r="54" spans="1:10" ht="20" customHeight="1">
      <c r="A54" s="322" t="s">
        <v>431</v>
      </c>
      <c r="B54" s="313"/>
      <c r="C54" s="303"/>
      <c r="D54" s="303"/>
      <c r="E54" s="303"/>
      <c r="F54" s="303"/>
      <c r="G54" s="303"/>
      <c r="H54" s="303"/>
      <c r="I54" s="303"/>
      <c r="J54" s="333" t="s">
        <v>427</v>
      </c>
    </row>
    <row r="55" spans="1:10" ht="20" customHeight="1">
      <c r="A55" s="322" t="s">
        <v>456</v>
      </c>
      <c r="B55" s="313"/>
      <c r="C55" s="303"/>
      <c r="D55" s="303"/>
      <c r="E55" s="303"/>
      <c r="F55" s="303"/>
      <c r="G55" s="303"/>
      <c r="H55" s="303"/>
      <c r="I55" s="303"/>
      <c r="J55" s="333"/>
    </row>
    <row r="56" spans="1:10" ht="20" customHeight="1">
      <c r="A56" s="322" t="s">
        <v>432</v>
      </c>
      <c r="B56" s="313"/>
      <c r="C56" s="303"/>
      <c r="D56" s="303"/>
      <c r="E56" s="303"/>
      <c r="F56" s="303"/>
      <c r="G56" s="303"/>
      <c r="H56" s="303"/>
      <c r="I56" s="303"/>
      <c r="J56" s="333" t="s">
        <v>427</v>
      </c>
    </row>
    <row r="57" spans="1:10" ht="20" customHeight="1">
      <c r="A57" s="322" t="s">
        <v>452</v>
      </c>
      <c r="B57" s="313"/>
      <c r="C57" s="303"/>
      <c r="D57" s="303"/>
      <c r="E57" s="303"/>
      <c r="F57" s="303"/>
      <c r="G57" s="303"/>
      <c r="H57" s="303"/>
      <c r="I57" s="303"/>
      <c r="J57" s="333" t="s">
        <v>427</v>
      </c>
    </row>
    <row r="58" spans="1:10">
      <c r="A58" s="322" t="s">
        <v>453</v>
      </c>
      <c r="B58" s="313"/>
      <c r="C58" s="303"/>
      <c r="D58" s="303"/>
      <c r="E58" s="303"/>
      <c r="F58" s="303"/>
      <c r="G58" s="303"/>
      <c r="H58" s="303"/>
      <c r="I58" s="303"/>
      <c r="J58" s="333" t="s">
        <v>427</v>
      </c>
    </row>
    <row r="59" spans="1:10" ht="20" customHeight="1" thickBot="1">
      <c r="A59" s="323" t="s">
        <v>451</v>
      </c>
      <c r="B59" s="313"/>
      <c r="C59" s="303"/>
      <c r="D59" s="303"/>
      <c r="E59" s="303"/>
      <c r="F59" s="303"/>
      <c r="G59" s="303"/>
      <c r="H59" s="303"/>
      <c r="I59" s="303"/>
      <c r="J59" s="333" t="s">
        <v>427</v>
      </c>
    </row>
    <row r="60" spans="1:10" ht="8" customHeight="1" thickBot="1"/>
    <row r="61" spans="1:10" ht="20" customHeight="1">
      <c r="A61" s="325" t="s">
        <v>433</v>
      </c>
      <c r="B61" s="330" t="s">
        <v>435</v>
      </c>
      <c r="C61" s="281"/>
      <c r="D61" s="281"/>
      <c r="E61" s="281"/>
      <c r="F61" s="281"/>
      <c r="G61" s="281"/>
      <c r="H61" s="281"/>
      <c r="I61" s="282"/>
    </row>
    <row r="62" spans="1:10" ht="20" customHeight="1" thickBot="1">
      <c r="A62" s="319"/>
      <c r="B62" s="289"/>
      <c r="C62" s="290"/>
      <c r="D62" s="290"/>
      <c r="E62" s="290"/>
      <c r="F62" s="290"/>
      <c r="G62" s="290"/>
      <c r="H62" s="290"/>
      <c r="I62" s="291"/>
    </row>
    <row r="63" spans="1:10" ht="20" customHeight="1">
      <c r="A63" s="319"/>
      <c r="B63" s="330" t="s">
        <v>436</v>
      </c>
      <c r="C63" s="281"/>
      <c r="D63" s="281"/>
      <c r="E63" s="281"/>
      <c r="F63" s="281"/>
      <c r="G63" s="281"/>
      <c r="H63" s="281"/>
      <c r="I63" s="282"/>
    </row>
    <row r="64" spans="1:10" ht="20" customHeight="1" thickBot="1">
      <c r="A64" s="319"/>
      <c r="B64" s="289"/>
      <c r="C64" s="290"/>
      <c r="D64" s="290"/>
      <c r="E64" s="290"/>
      <c r="F64" s="290"/>
      <c r="G64" s="290"/>
      <c r="H64" s="290"/>
      <c r="I64" s="291"/>
    </row>
    <row r="65" spans="1:9" ht="20" customHeight="1">
      <c r="A65" s="319"/>
      <c r="B65" s="331" t="s">
        <v>437</v>
      </c>
      <c r="C65" s="286"/>
      <c r="D65" s="286"/>
      <c r="E65" s="286"/>
      <c r="F65" s="286"/>
      <c r="G65" s="286"/>
      <c r="H65" s="286"/>
      <c r="I65" s="287"/>
    </row>
    <row r="66" spans="1:9" ht="20" customHeight="1" thickBot="1">
      <c r="A66" s="318"/>
      <c r="B66" s="290"/>
      <c r="C66" s="290"/>
      <c r="D66" s="290"/>
      <c r="E66" s="290"/>
      <c r="F66" s="290"/>
      <c r="G66" s="290"/>
      <c r="H66" s="290"/>
      <c r="I66" s="291"/>
    </row>
    <row r="67" spans="1:9" ht="8" customHeight="1" thickBot="1"/>
    <row r="68" spans="1:9" ht="15" thickBot="1">
      <c r="A68" s="320" t="s">
        <v>434</v>
      </c>
      <c r="B68" s="295"/>
      <c r="C68" s="295"/>
      <c r="D68" s="295"/>
      <c r="E68" s="295"/>
      <c r="F68" s="295"/>
      <c r="G68" s="295"/>
      <c r="H68" s="295"/>
      <c r="I68" s="294"/>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For Doctor</vt:lpstr>
      <vt:lpstr>For Patient</vt:lpstr>
      <vt:lpstr>Target Calory &amp; Protein</vt:lpstr>
      <vt:lpstr>Guidelines</vt:lpstr>
      <vt:lpstr>Database</vt:lpstr>
      <vt:lpstr>Product Info</vt:lpstr>
      <vt:lpstr>Patient chart</vt:lpstr>
    </vt:vector>
  </TitlesOfParts>
  <Company>大塚グループ</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kamei yasuhito（亀井　靖人）</dc:creator>
  <cp:lastModifiedBy>Joel Almariego</cp:lastModifiedBy>
  <dcterms:created xsi:type="dcterms:W3CDTF">2020-06-02T08:10:10Z</dcterms:created>
  <dcterms:modified xsi:type="dcterms:W3CDTF">2020-10-22T07:01:49Z</dcterms:modified>
</cp:coreProperties>
</file>